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firstSheet="10" activeTab="21"/>
  </bookViews>
  <sheets>
    <sheet name="Регистрация" sheetId="4" r:id="rId1"/>
    <sheet name="Москва М1" sheetId="1" r:id="rId2"/>
    <sheet name="Москва М2" sheetId="3" r:id="rId3"/>
    <sheet name="Москва М3" sheetId="10" r:id="rId4"/>
    <sheet name="Москва М4" sheetId="11" r:id="rId5"/>
    <sheet name="Москва М5" sheetId="12" r:id="rId6"/>
    <sheet name="Десн М6" sheetId="6" r:id="rId7"/>
    <sheet name="Десн М7" sheetId="13" r:id="rId8"/>
    <sheet name="Калуга М8" sheetId="15" r:id="rId9"/>
    <sheet name="Калуга М9" sheetId="16" r:id="rId10"/>
    <sheet name="Москва ж1" sheetId="2" r:id="rId11"/>
    <sheet name="Москва ж2" sheetId="5" r:id="rId12"/>
    <sheet name="Москва ж3" sheetId="9" r:id="rId13"/>
    <sheet name="Десн ж4" sheetId="7" r:id="rId14"/>
    <sheet name="Питер ж5" sheetId="8" r:id="rId15"/>
    <sheet name="Калуга ж6" sheetId="14" r:id="rId16"/>
    <sheet name="F1" sheetId="17" r:id="rId17"/>
    <sheet name="F2" sheetId="18" r:id="rId18"/>
    <sheet name="F3" sheetId="19" r:id="rId19"/>
    <sheet name="G1" sheetId="20" r:id="rId20"/>
    <sheet name="G2" sheetId="21" r:id="rId21"/>
    <sheet name="Финал муж" sheetId="22" r:id="rId22"/>
    <sheet name="Финал жен" sheetId="23" r:id="rId23"/>
  </sheets>
  <calcPr calcId="145621"/>
</workbook>
</file>

<file path=xl/calcChain.xml><?xml version="1.0" encoding="utf-8"?>
<calcChain xmlns="http://schemas.openxmlformats.org/spreadsheetml/2006/main">
  <c r="B20" i="23" l="1"/>
  <c r="B32" i="22"/>
  <c r="B4" i="22"/>
  <c r="B16" i="22"/>
  <c r="J8" i="21"/>
  <c r="B4" i="23"/>
  <c r="B24" i="22"/>
  <c r="B8" i="23"/>
  <c r="B20" i="22"/>
  <c r="I12" i="21"/>
  <c r="B24" i="23"/>
  <c r="B28" i="23"/>
  <c r="B16" i="23"/>
  <c r="B28" i="22"/>
  <c r="F12" i="21"/>
  <c r="J8" i="20"/>
  <c r="G4" i="20"/>
  <c r="H6" i="19"/>
  <c r="F6" i="19"/>
  <c r="K8" i="18"/>
  <c r="K12" i="18"/>
  <c r="I6" i="18"/>
  <c r="G10" i="17"/>
  <c r="C42" i="18"/>
  <c r="H27" i="20"/>
  <c r="F8" i="21"/>
  <c r="I8" i="20"/>
  <c r="H30" i="18"/>
  <c r="K12" i="17"/>
  <c r="I12" i="17"/>
  <c r="G10" i="21"/>
  <c r="H12" i="21"/>
  <c r="F8" i="20"/>
  <c r="J4" i="20"/>
  <c r="K12" i="19"/>
  <c r="F14" i="19"/>
  <c r="H7" i="19"/>
  <c r="F8" i="18"/>
  <c r="I14" i="18"/>
  <c r="H14" i="18"/>
  <c r="H12" i="17"/>
  <c r="I6" i="17"/>
  <c r="H4" i="17"/>
  <c r="C40" i="18"/>
  <c r="H26" i="19"/>
  <c r="I6" i="21"/>
  <c r="G12" i="20"/>
  <c r="G14" i="19"/>
  <c r="J4" i="19"/>
  <c r="C21" i="18"/>
  <c r="J4" i="17"/>
  <c r="H40" i="17"/>
  <c r="F12" i="20"/>
  <c r="G4" i="19"/>
  <c r="I4" i="17"/>
  <c r="H36" i="18"/>
  <c r="H26" i="20"/>
  <c r="H19" i="20"/>
  <c r="H21" i="19"/>
  <c r="H20" i="18"/>
  <c r="I14" i="19"/>
  <c r="C27" i="18"/>
  <c r="J6" i="21"/>
  <c r="K4" i="19"/>
  <c r="C26" i="17"/>
  <c r="H26" i="18"/>
  <c r="F10" i="21"/>
  <c r="G12" i="18"/>
  <c r="H27" i="17"/>
  <c r="H26" i="21"/>
  <c r="H32" i="19"/>
  <c r="H36" i="16"/>
  <c r="H37" i="13"/>
  <c r="K6" i="12"/>
  <c r="H22" i="7"/>
  <c r="K12" i="7"/>
  <c r="F12" i="12"/>
  <c r="I8" i="5"/>
  <c r="I4" i="11"/>
  <c r="H37" i="15"/>
  <c r="H28" i="7"/>
  <c r="G8" i="14"/>
  <c r="C28" i="13"/>
  <c r="C47" i="13"/>
  <c r="C42" i="11"/>
  <c r="C35" i="12"/>
  <c r="C32" i="16"/>
  <c r="F6" i="15"/>
  <c r="H32" i="12"/>
  <c r="G16" i="13"/>
  <c r="J6" i="5"/>
  <c r="H6" i="13"/>
  <c r="G12" i="10"/>
  <c r="C29" i="16"/>
  <c r="I4" i="15"/>
  <c r="G8" i="13"/>
  <c r="L12" i="13"/>
  <c r="F14" i="10"/>
  <c r="G14" i="10"/>
  <c r="H10" i="7"/>
  <c r="C32" i="11"/>
  <c r="H47" i="7"/>
  <c r="H28" i="16"/>
  <c r="K10" i="12"/>
  <c r="K8" i="11"/>
  <c r="H52" i="13"/>
  <c r="C37" i="7"/>
  <c r="G12" i="9"/>
  <c r="H14" i="3"/>
  <c r="H19" i="9"/>
  <c r="H29" i="15"/>
  <c r="G14" i="12"/>
  <c r="I12" i="10"/>
  <c r="H41" i="11"/>
  <c r="C44" i="7"/>
  <c r="I4" i="6"/>
  <c r="H4" i="3"/>
  <c r="C24" i="16"/>
  <c r="F14" i="13"/>
  <c r="H20" i="11"/>
  <c r="K12" i="12"/>
  <c r="C27" i="10"/>
  <c r="B32" i="23"/>
  <c r="B12" i="23"/>
  <c r="B8" i="22"/>
  <c r="B12" i="22"/>
  <c r="I8" i="21"/>
  <c r="I12" i="20"/>
  <c r="F6" i="20"/>
  <c r="I8" i="19"/>
  <c r="I12" i="19"/>
  <c r="H10" i="18"/>
  <c r="K9" i="18"/>
  <c r="G14" i="17"/>
  <c r="K4" i="17"/>
  <c r="G4" i="17"/>
  <c r="H35" i="20"/>
  <c r="H23" i="20"/>
  <c r="J10" i="21"/>
  <c r="H22" i="20"/>
  <c r="K10" i="19"/>
  <c r="I8" i="18"/>
  <c r="H14" i="17"/>
  <c r="G8" i="17"/>
  <c r="I4" i="21"/>
  <c r="H23" i="21"/>
  <c r="C19" i="20"/>
  <c r="H12" i="20"/>
  <c r="J6" i="19"/>
  <c r="C40" i="19"/>
  <c r="C31" i="19"/>
  <c r="J14" i="18"/>
  <c r="F12" i="18"/>
  <c r="H11" i="18"/>
  <c r="F8" i="17"/>
  <c r="H15" i="17"/>
  <c r="G15" i="17"/>
  <c r="H40" i="18"/>
  <c r="H30" i="19"/>
  <c r="C19" i="21"/>
  <c r="C26" i="20"/>
  <c r="H25" i="19"/>
  <c r="F14" i="18"/>
  <c r="K10" i="18"/>
  <c r="J14" i="17"/>
  <c r="J4" i="21"/>
  <c r="J9" i="20"/>
  <c r="H25" i="18"/>
  <c r="F6" i="17"/>
  <c r="H41" i="18"/>
  <c r="C31" i="20"/>
  <c r="I13" i="21"/>
  <c r="G10" i="18"/>
  <c r="H22" i="19"/>
  <c r="H40" i="19"/>
  <c r="H4" i="20"/>
  <c r="K6" i="19"/>
  <c r="C35" i="18"/>
  <c r="H35" i="17"/>
  <c r="H35" i="18"/>
  <c r="G8" i="20"/>
  <c r="J15" i="18"/>
  <c r="C26" i="18"/>
  <c r="C30" i="20"/>
  <c r="J8" i="17"/>
  <c r="H42" i="19"/>
  <c r="H32" i="15"/>
  <c r="H4" i="11"/>
  <c r="K4" i="12"/>
  <c r="H31" i="12"/>
  <c r="F12" i="2"/>
  <c r="G4" i="2"/>
  <c r="K10" i="1"/>
  <c r="H40" i="6"/>
  <c r="C37" i="15"/>
  <c r="I16" i="13"/>
  <c r="C30" i="12"/>
  <c r="H54" i="7"/>
  <c r="G10" i="13"/>
  <c r="C41" i="10"/>
  <c r="H36" i="11"/>
  <c r="G4" i="16"/>
  <c r="G4" i="14"/>
  <c r="H14" i="10"/>
  <c r="C20" i="11"/>
  <c r="G14" i="13"/>
  <c r="H36" i="10"/>
  <c r="C20" i="10"/>
  <c r="H37" i="16"/>
  <c r="C22" i="13"/>
  <c r="C42" i="12"/>
  <c r="L6" i="7"/>
  <c r="F12" i="9"/>
  <c r="C32" i="13"/>
  <c r="I12" i="3"/>
  <c r="F8" i="8"/>
  <c r="C25" i="6"/>
  <c r="H24" i="15"/>
  <c r="H54" i="13"/>
  <c r="F8" i="10"/>
  <c r="H10" i="13"/>
  <c r="H10" i="5"/>
  <c r="G8" i="5"/>
  <c r="F8" i="5"/>
  <c r="K12" i="3"/>
  <c r="C29" i="15"/>
  <c r="H4" i="7"/>
  <c r="C32" i="12"/>
  <c r="C22" i="12"/>
  <c r="F8" i="11"/>
  <c r="F10" i="10"/>
  <c r="C37" i="11"/>
  <c r="H32" i="16"/>
  <c r="H22" i="13"/>
  <c r="C37" i="13"/>
  <c r="C25" i="12"/>
  <c r="K12" i="2"/>
  <c r="K6" i="1"/>
  <c r="J14" i="2"/>
  <c r="C54" i="13"/>
  <c r="C25" i="15"/>
  <c r="F6" i="7"/>
  <c r="C23" i="13"/>
  <c r="C31" i="12"/>
  <c r="H27" i="12"/>
  <c r="K8" i="12"/>
  <c r="K6" i="13"/>
  <c r="K5" i="12"/>
  <c r="G4" i="21"/>
  <c r="C22" i="20"/>
  <c r="G8" i="19"/>
  <c r="J6" i="18"/>
  <c r="F10" i="17"/>
  <c r="H18" i="20"/>
  <c r="I6" i="20"/>
  <c r="J10" i="18"/>
  <c r="H10" i="17"/>
  <c r="J10" i="20"/>
  <c r="H14" i="19"/>
  <c r="H15" i="19" s="1"/>
  <c r="F7" i="19"/>
  <c r="F9" i="18"/>
  <c r="H13" i="17"/>
  <c r="I8" i="17"/>
  <c r="C27" i="20"/>
  <c r="I13" i="20"/>
  <c r="H37" i="18"/>
  <c r="K6" i="17"/>
  <c r="C27" i="17"/>
  <c r="H34" i="21"/>
  <c r="F14" i="17"/>
  <c r="I12" i="18"/>
  <c r="H6" i="20"/>
  <c r="H42" i="18"/>
  <c r="I5" i="17"/>
  <c r="G10" i="19"/>
  <c r="C22" i="21"/>
  <c r="H4" i="8"/>
  <c r="J6" i="11"/>
  <c r="C21" i="12"/>
  <c r="C33" i="16"/>
  <c r="C41" i="12"/>
  <c r="H53" i="7"/>
  <c r="H14" i="1"/>
  <c r="H36" i="15"/>
  <c r="H21" i="12"/>
  <c r="C39" i="13"/>
  <c r="F8" i="9"/>
  <c r="J4" i="12"/>
  <c r="H22" i="12"/>
  <c r="F12" i="11"/>
  <c r="J16" i="13"/>
  <c r="C24" i="15"/>
  <c r="H24" i="13"/>
  <c r="H17" i="14"/>
  <c r="I14" i="13"/>
  <c r="F6" i="14"/>
  <c r="H33" i="13"/>
  <c r="H14" i="14"/>
  <c r="H12" i="10"/>
  <c r="I4" i="13"/>
  <c r="H26" i="10"/>
  <c r="C40" i="10"/>
  <c r="C49" i="13"/>
  <c r="H29" i="16"/>
  <c r="C53" i="13"/>
  <c r="C36" i="11"/>
  <c r="G12" i="7"/>
  <c r="G12" i="6"/>
  <c r="C33" i="13"/>
  <c r="J8" i="7"/>
  <c r="C40" i="12"/>
  <c r="C42" i="13"/>
  <c r="L6" i="13"/>
  <c r="C52" i="7"/>
  <c r="H20" i="14"/>
  <c r="K9" i="11"/>
  <c r="C34" i="9"/>
  <c r="H20" i="15"/>
  <c r="H30" i="9"/>
  <c r="G4" i="13"/>
  <c r="C17" i="14"/>
  <c r="J4" i="13"/>
  <c r="I6" i="12"/>
  <c r="C21" i="11"/>
  <c r="H14" i="12"/>
  <c r="J4" i="9"/>
  <c r="J14" i="6"/>
  <c r="H22" i="2"/>
  <c r="G9" i="5"/>
  <c r="C35" i="3"/>
  <c r="C30" i="5"/>
  <c r="F10" i="2"/>
  <c r="C42" i="6"/>
  <c r="H10" i="1"/>
  <c r="F14" i="6"/>
  <c r="F9" i="10"/>
  <c r="K4" i="10"/>
  <c r="I12" i="5"/>
  <c r="C26" i="1"/>
  <c r="C31" i="5"/>
  <c r="J4" i="6"/>
  <c r="F8" i="6"/>
  <c r="C36" i="6"/>
  <c r="C25" i="3"/>
  <c r="C30" i="9"/>
  <c r="J7" i="5"/>
  <c r="H17" i="16"/>
  <c r="C17" i="16"/>
  <c r="K6" i="10"/>
  <c r="H6" i="12"/>
  <c r="C36" i="12"/>
  <c r="G14" i="11"/>
  <c r="J10" i="10"/>
  <c r="H12" i="9"/>
  <c r="H42" i="7"/>
  <c r="K12" i="1"/>
  <c r="I8" i="9"/>
  <c r="J6" i="6"/>
  <c r="F6" i="16"/>
  <c r="L4" i="13"/>
  <c r="C42" i="10"/>
  <c r="C14" i="8"/>
  <c r="H16" i="16"/>
  <c r="L8" i="13"/>
  <c r="F10" i="3"/>
  <c r="C31" i="9"/>
  <c r="G8" i="15"/>
  <c r="G10" i="20"/>
  <c r="J14" i="19"/>
  <c r="F6" i="18"/>
  <c r="F7" i="18" s="1"/>
  <c r="K8" i="17"/>
  <c r="K9" i="17" s="1"/>
  <c r="K10" i="17"/>
  <c r="G12" i="21"/>
  <c r="K8" i="19"/>
  <c r="K9" i="19" s="1"/>
  <c r="J4" i="18"/>
  <c r="H26" i="17"/>
  <c r="H31" i="20"/>
  <c r="I4" i="20"/>
  <c r="H4" i="19"/>
  <c r="J8" i="18"/>
  <c r="G8" i="18"/>
  <c r="F11" i="17"/>
  <c r="H21" i="18"/>
  <c r="H6" i="21"/>
  <c r="G12" i="19"/>
  <c r="H6" i="17"/>
  <c r="J5" i="21"/>
  <c r="K4" i="18"/>
  <c r="C22" i="19"/>
  <c r="G13" i="20"/>
  <c r="H4" i="21"/>
  <c r="C18" i="20"/>
  <c r="F15" i="19"/>
  <c r="H11" i="17"/>
  <c r="I6" i="19"/>
  <c r="C35" i="19"/>
  <c r="H21" i="17"/>
  <c r="C32" i="15"/>
  <c r="I6" i="11"/>
  <c r="J6" i="13"/>
  <c r="H36" i="12"/>
  <c r="I6" i="15"/>
  <c r="C52" i="13"/>
  <c r="C41" i="11"/>
  <c r="H23" i="9"/>
  <c r="C20" i="12"/>
  <c r="I12" i="11"/>
  <c r="C30" i="1"/>
  <c r="H33" i="15"/>
  <c r="H42" i="12"/>
  <c r="H30" i="2"/>
  <c r="H27" i="3"/>
  <c r="G14" i="6"/>
  <c r="G14" i="7"/>
  <c r="G4" i="11"/>
  <c r="G8" i="10"/>
  <c r="C25" i="16"/>
  <c r="J6" i="12"/>
  <c r="H48" i="7"/>
  <c r="F14" i="7"/>
  <c r="H28" i="15"/>
  <c r="F6" i="9"/>
  <c r="C14" i="14"/>
  <c r="F10" i="9"/>
  <c r="H6" i="7"/>
  <c r="H27" i="13"/>
  <c r="H6" i="11"/>
  <c r="C44" i="13"/>
  <c r="C40" i="11"/>
  <c r="C35" i="5"/>
  <c r="H12" i="1"/>
  <c r="F10" i="16"/>
  <c r="H25" i="11"/>
  <c r="G4" i="7"/>
  <c r="G13" i="9"/>
  <c r="C21" i="15"/>
  <c r="C29" i="13"/>
  <c r="J14" i="7"/>
  <c r="I14" i="12"/>
  <c r="I15" i="12" s="1"/>
  <c r="H25" i="12"/>
  <c r="J10" i="7"/>
  <c r="L8" i="7"/>
  <c r="H10" i="16"/>
  <c r="F14" i="11"/>
  <c r="C39" i="7"/>
  <c r="C30" i="10"/>
  <c r="G4" i="1"/>
  <c r="H21" i="1"/>
  <c r="G12" i="3"/>
  <c r="H6" i="6"/>
  <c r="J8" i="5"/>
  <c r="C32" i="1"/>
  <c r="J6" i="10"/>
  <c r="H26" i="9"/>
  <c r="I6" i="3"/>
  <c r="F14" i="2"/>
  <c r="H26" i="3"/>
  <c r="J14" i="3"/>
  <c r="C31" i="6"/>
  <c r="H40" i="2"/>
  <c r="G14" i="1"/>
  <c r="J4" i="3"/>
  <c r="C20" i="1"/>
  <c r="J9" i="7"/>
  <c r="C35" i="10"/>
  <c r="H37" i="2"/>
  <c r="C21" i="3"/>
  <c r="C22" i="9"/>
  <c r="J4" i="11"/>
  <c r="H6" i="14"/>
  <c r="F12" i="6"/>
  <c r="J10" i="11"/>
  <c r="H37" i="12"/>
  <c r="F12" i="13"/>
  <c r="G8" i="8"/>
  <c r="C17" i="8"/>
  <c r="H15" i="12"/>
  <c r="L12" i="7"/>
  <c r="H37" i="6"/>
  <c r="C26" i="11"/>
  <c r="I8" i="11"/>
  <c r="J4" i="10"/>
  <c r="H43" i="13"/>
  <c r="L14" i="13"/>
  <c r="H30" i="11"/>
  <c r="C29" i="7"/>
  <c r="C23" i="20"/>
  <c r="J8" i="19"/>
  <c r="I14" i="17"/>
  <c r="C40" i="17"/>
  <c r="F6" i="21"/>
  <c r="F12" i="19"/>
  <c r="J10" i="17"/>
  <c r="H10" i="21"/>
  <c r="H11" i="21" s="1"/>
  <c r="H10" i="20"/>
  <c r="I4" i="19"/>
  <c r="H20" i="19"/>
  <c r="H4" i="18"/>
  <c r="H5" i="18"/>
  <c r="I7" i="17"/>
  <c r="H32" i="18"/>
  <c r="I5" i="21"/>
  <c r="H37" i="19"/>
  <c r="J6" i="17"/>
  <c r="F10" i="20"/>
  <c r="F10" i="18"/>
  <c r="H27" i="19"/>
  <c r="F8" i="19"/>
  <c r="J9" i="21"/>
  <c r="C31" i="21"/>
  <c r="I4" i="18"/>
  <c r="C25" i="17"/>
  <c r="F10" i="19"/>
  <c r="C35" i="20"/>
  <c r="H27" i="18"/>
  <c r="G4" i="15"/>
  <c r="H48" i="13"/>
  <c r="G12" i="12"/>
  <c r="J14" i="12"/>
  <c r="J15" i="12" s="1"/>
  <c r="H37" i="11"/>
  <c r="F8" i="12"/>
  <c r="F9" i="12" s="1"/>
  <c r="H21" i="6"/>
  <c r="K4" i="1"/>
  <c r="H10" i="10"/>
  <c r="H31" i="1"/>
  <c r="H32" i="3"/>
  <c r="C33" i="15"/>
  <c r="C25" i="11"/>
  <c r="F10" i="13"/>
  <c r="F11" i="13" s="1"/>
  <c r="I8" i="13"/>
  <c r="C20" i="16"/>
  <c r="H41" i="12"/>
  <c r="H39" i="7"/>
  <c r="I4" i="10"/>
  <c r="H33" i="16"/>
  <c r="F6" i="13"/>
  <c r="G14" i="3"/>
  <c r="J4" i="1"/>
  <c r="C28" i="15"/>
  <c r="I12" i="13"/>
  <c r="G8" i="12"/>
  <c r="H31" i="6"/>
  <c r="C21" i="16"/>
  <c r="G10" i="12"/>
  <c r="H4" i="10"/>
  <c r="G4" i="8"/>
  <c r="G5" i="8" s="1"/>
  <c r="H30" i="12"/>
  <c r="H34" i="5"/>
  <c r="H16" i="15"/>
  <c r="C26" i="9"/>
  <c r="C35" i="9"/>
  <c r="F14" i="1"/>
  <c r="H21" i="11"/>
  <c r="J10" i="13"/>
  <c r="H22" i="10"/>
  <c r="C16" i="16"/>
  <c r="H12" i="13"/>
  <c r="H34" i="9"/>
  <c r="H42" i="3"/>
  <c r="H17" i="15"/>
  <c r="G4" i="9"/>
  <c r="G10" i="3"/>
  <c r="G11" i="3" s="1"/>
  <c r="H26" i="6"/>
  <c r="J8" i="1"/>
  <c r="I17" i="13"/>
  <c r="J15" i="2"/>
  <c r="H36" i="2"/>
  <c r="G12" i="1"/>
  <c r="H30" i="1"/>
  <c r="J10" i="9"/>
  <c r="H34" i="7"/>
  <c r="F11" i="9"/>
  <c r="I8" i="2"/>
  <c r="J7" i="12"/>
  <c r="G10" i="9"/>
  <c r="G11" i="9" s="1"/>
  <c r="H11" i="1"/>
  <c r="C22" i="3"/>
  <c r="C30" i="2"/>
  <c r="J6" i="3"/>
  <c r="H15" i="1"/>
  <c r="H26" i="1"/>
  <c r="C31" i="11"/>
  <c r="C34" i="7"/>
  <c r="G15" i="13"/>
  <c r="I4" i="2"/>
  <c r="H36" i="1"/>
  <c r="J10" i="1"/>
  <c r="J11" i="1" s="1"/>
  <c r="K8" i="2"/>
  <c r="J7" i="13"/>
  <c r="I16" i="7"/>
  <c r="C49" i="7"/>
  <c r="H20" i="12"/>
  <c r="C48" i="13"/>
  <c r="H20" i="16"/>
  <c r="C24" i="7"/>
  <c r="G4" i="5"/>
  <c r="C20" i="3"/>
  <c r="H10" i="9"/>
  <c r="K4" i="6"/>
  <c r="H16" i="7"/>
  <c r="H6" i="3"/>
  <c r="G4" i="10"/>
  <c r="I6" i="10"/>
  <c r="K16" i="13"/>
  <c r="G10" i="16"/>
  <c r="C24" i="13"/>
  <c r="C37" i="10"/>
  <c r="C27" i="7"/>
  <c r="F8" i="16"/>
  <c r="C43" i="7"/>
  <c r="H14" i="7"/>
  <c r="H6" i="15"/>
  <c r="G16" i="7"/>
  <c r="C41" i="1"/>
  <c r="G8" i="6"/>
  <c r="F12" i="1"/>
  <c r="C41" i="6"/>
  <c r="C37" i="1"/>
  <c r="H21" i="3"/>
  <c r="F6" i="5"/>
  <c r="J6" i="2"/>
  <c r="H23" i="7"/>
  <c r="G13" i="10"/>
  <c r="G12" i="2"/>
  <c r="C32" i="6"/>
  <c r="C18" i="5"/>
  <c r="H13" i="13"/>
  <c r="C36" i="2"/>
  <c r="H25" i="6"/>
  <c r="K12" i="10"/>
  <c r="H35" i="2"/>
  <c r="C31" i="3"/>
  <c r="G5" i="14"/>
  <c r="G8" i="21"/>
  <c r="G12" i="17"/>
  <c r="H37" i="17"/>
  <c r="H12" i="18"/>
  <c r="H13" i="18" s="1"/>
  <c r="C18" i="21"/>
  <c r="H10" i="19"/>
  <c r="H22" i="18"/>
  <c r="J11" i="17"/>
  <c r="H27" i="10"/>
  <c r="H37" i="3"/>
  <c r="H43" i="7"/>
  <c r="H31" i="9"/>
  <c r="H49" i="13"/>
  <c r="K8" i="7"/>
  <c r="K9" i="7" s="1"/>
  <c r="I14" i="10"/>
  <c r="K10" i="13"/>
  <c r="H27" i="1"/>
  <c r="H24" i="16"/>
  <c r="H32" i="13"/>
  <c r="I8" i="12"/>
  <c r="F6" i="2"/>
  <c r="F7" i="2" s="1"/>
  <c r="H5" i="10"/>
  <c r="C40" i="6"/>
  <c r="J6" i="9"/>
  <c r="H42" i="2"/>
  <c r="K5" i="10"/>
  <c r="G12" i="11"/>
  <c r="K8" i="6"/>
  <c r="H35" i="3"/>
  <c r="J8" i="12"/>
  <c r="C43" i="13"/>
  <c r="H40" i="10"/>
  <c r="I4" i="12"/>
  <c r="C26" i="6"/>
  <c r="H23" i="13"/>
  <c r="H12" i="11"/>
  <c r="H7" i="7"/>
  <c r="H35" i="9"/>
  <c r="K11" i="12"/>
  <c r="F14" i="3"/>
  <c r="C37" i="2"/>
  <c r="J5" i="1"/>
  <c r="G13" i="7"/>
  <c r="F8" i="2"/>
  <c r="L13" i="7"/>
  <c r="H24" i="7"/>
  <c r="H15" i="10"/>
  <c r="J5" i="12"/>
  <c r="J5" i="10"/>
  <c r="C22" i="5"/>
  <c r="G15" i="10"/>
  <c r="F6" i="1"/>
  <c r="H22" i="6"/>
  <c r="I13" i="3"/>
  <c r="C32" i="3"/>
  <c r="F15" i="7"/>
  <c r="F13" i="13"/>
  <c r="C16" i="15"/>
  <c r="H53" i="13"/>
  <c r="I4" i="9"/>
  <c r="C27" i="11"/>
  <c r="H12" i="7"/>
  <c r="H26" i="11"/>
  <c r="G8" i="11"/>
  <c r="H40" i="11"/>
  <c r="K6" i="11"/>
  <c r="I14" i="1"/>
  <c r="C27" i="9"/>
  <c r="H31" i="2"/>
  <c r="J10" i="2"/>
  <c r="G5" i="1"/>
  <c r="F8" i="15"/>
  <c r="F6" i="12"/>
  <c r="L10" i="13"/>
  <c r="H41" i="1"/>
  <c r="C35" i="2"/>
  <c r="I14" i="6"/>
  <c r="G12" i="5"/>
  <c r="C48" i="7"/>
  <c r="H36" i="3"/>
  <c r="I6" i="1"/>
  <c r="H11" i="9"/>
  <c r="H4" i="5"/>
  <c r="I6" i="5"/>
  <c r="K13" i="1"/>
  <c r="H41" i="6"/>
  <c r="H32" i="10"/>
  <c r="H30" i="5"/>
  <c r="G14" i="2"/>
  <c r="I9" i="9"/>
  <c r="L9" i="13"/>
  <c r="C38" i="13"/>
  <c r="F6" i="11"/>
  <c r="J4" i="7"/>
  <c r="G10" i="5"/>
  <c r="K10" i="7"/>
  <c r="H35" i="5"/>
  <c r="G8" i="2"/>
  <c r="F11" i="2"/>
  <c r="G9" i="13"/>
  <c r="H6" i="8"/>
  <c r="H6" i="16"/>
  <c r="H7" i="16"/>
  <c r="H12" i="3"/>
  <c r="H11" i="10"/>
  <c r="H14" i="6"/>
  <c r="G10" i="1"/>
  <c r="C23" i="9"/>
  <c r="F10" i="6"/>
  <c r="H15" i="7"/>
  <c r="G15" i="3"/>
  <c r="F10" i="5"/>
  <c r="I7" i="10"/>
  <c r="C36" i="16"/>
  <c r="I8" i="16"/>
  <c r="G8" i="16"/>
  <c r="I8" i="15"/>
  <c r="K6" i="3"/>
  <c r="F9" i="5"/>
  <c r="G14" i="18"/>
  <c r="G15" i="18" s="1"/>
  <c r="J6" i="20"/>
  <c r="H30" i="20"/>
  <c r="F9" i="17"/>
  <c r="J11" i="18"/>
  <c r="C25" i="19"/>
  <c r="F12" i="17"/>
  <c r="C28" i="16"/>
  <c r="I4" i="16"/>
  <c r="C36" i="15"/>
  <c r="I12" i="9"/>
  <c r="I13" i="9" s="1"/>
  <c r="H4" i="13"/>
  <c r="K12" i="13"/>
  <c r="F6" i="8"/>
  <c r="F7" i="8" s="1"/>
  <c r="H25" i="15"/>
  <c r="H33" i="7"/>
  <c r="H28" i="13"/>
  <c r="I14" i="2"/>
  <c r="J11" i="7"/>
  <c r="C22" i="1"/>
  <c r="G4" i="6"/>
  <c r="K4" i="3"/>
  <c r="K5" i="3" s="1"/>
  <c r="C47" i="7"/>
  <c r="H32" i="2"/>
  <c r="C22" i="6"/>
  <c r="K11" i="1"/>
  <c r="C21" i="2"/>
  <c r="G15" i="7"/>
  <c r="J14" i="1"/>
  <c r="H4" i="15"/>
  <c r="H10" i="15"/>
  <c r="C27" i="5"/>
  <c r="C18" i="9"/>
  <c r="H27" i="7"/>
  <c r="H32" i="11"/>
  <c r="H35" i="10"/>
  <c r="I4" i="7"/>
  <c r="I17" i="7"/>
  <c r="H41" i="3"/>
  <c r="I9" i="11"/>
  <c r="I6" i="7"/>
  <c r="H21" i="2"/>
  <c r="F7" i="7"/>
  <c r="J15" i="7"/>
  <c r="C53" i="7"/>
  <c r="L10" i="7"/>
  <c r="L11" i="7" s="1"/>
  <c r="C21" i="10"/>
  <c r="C27" i="1"/>
  <c r="H12" i="2"/>
  <c r="I5" i="11"/>
  <c r="K10" i="6"/>
  <c r="H36" i="6"/>
  <c r="H5" i="7"/>
  <c r="I13" i="11"/>
  <c r="C42" i="1"/>
  <c r="H7" i="12"/>
  <c r="G5" i="6"/>
  <c r="J15" i="6"/>
  <c r="H42" i="10"/>
  <c r="H11" i="13"/>
  <c r="J14" i="10"/>
  <c r="C33" i="7"/>
  <c r="H21" i="16"/>
  <c r="H27" i="5"/>
  <c r="C17" i="15"/>
  <c r="K4" i="11"/>
  <c r="C31" i="2"/>
  <c r="H20" i="2"/>
  <c r="H4" i="2"/>
  <c r="G13" i="11"/>
  <c r="H22" i="5"/>
  <c r="H5" i="8"/>
  <c r="H21" i="10"/>
  <c r="F8" i="14"/>
  <c r="G4" i="12"/>
  <c r="C25" i="10"/>
  <c r="C22" i="2"/>
  <c r="G10" i="10"/>
  <c r="F6" i="6"/>
  <c r="K7" i="10"/>
  <c r="G8" i="3"/>
  <c r="K13" i="3"/>
  <c r="H35" i="1"/>
  <c r="H23" i="5"/>
  <c r="H41" i="2"/>
  <c r="H27" i="6"/>
  <c r="J15" i="1"/>
  <c r="I15" i="2"/>
  <c r="H25" i="1"/>
  <c r="H13" i="9"/>
  <c r="H35" i="6"/>
  <c r="G13" i="3"/>
  <c r="H4" i="16"/>
  <c r="C38" i="7"/>
  <c r="I9" i="12"/>
  <c r="F6" i="3"/>
  <c r="G5" i="7"/>
  <c r="G10" i="6"/>
  <c r="H10" i="6"/>
  <c r="J8" i="9"/>
  <c r="J9" i="9" s="1"/>
  <c r="H5" i="11"/>
  <c r="C34" i="13"/>
  <c r="H30" i="10"/>
  <c r="J16" i="7"/>
  <c r="J8" i="6"/>
  <c r="G8" i="7"/>
  <c r="H7" i="13"/>
  <c r="K9" i="6"/>
  <c r="L7" i="13"/>
  <c r="C32" i="2"/>
  <c r="I7" i="11"/>
  <c r="J10" i="5"/>
  <c r="G8" i="9"/>
  <c r="I7" i="12"/>
  <c r="H6" i="5"/>
  <c r="C22" i="10"/>
  <c r="G15" i="12"/>
  <c r="F7" i="5"/>
  <c r="H27" i="11"/>
  <c r="K6" i="7"/>
  <c r="F8" i="3"/>
  <c r="I14" i="11"/>
  <c r="I4" i="5"/>
  <c r="J10" i="19"/>
  <c r="J11" i="19" s="1"/>
  <c r="F7" i="21"/>
  <c r="C34" i="20"/>
  <c r="H12" i="19"/>
  <c r="J8" i="11"/>
  <c r="J9" i="11" s="1"/>
  <c r="C31" i="1"/>
  <c r="C27" i="13"/>
  <c r="F8" i="13"/>
  <c r="K10" i="11"/>
  <c r="C31" i="10"/>
  <c r="C27" i="3"/>
  <c r="C40" i="3"/>
  <c r="F15" i="2"/>
  <c r="G9" i="14"/>
  <c r="F12" i="5"/>
  <c r="F13" i="5" s="1"/>
  <c r="G12" i="13"/>
  <c r="H47" i="13"/>
  <c r="I6" i="16"/>
  <c r="C37" i="3"/>
  <c r="I5" i="12"/>
  <c r="F7" i="9"/>
  <c r="C36" i="10"/>
  <c r="C23" i="5"/>
  <c r="H11" i="5"/>
  <c r="C25" i="1"/>
  <c r="I8" i="10"/>
  <c r="H4" i="6"/>
  <c r="H27" i="2"/>
  <c r="G5" i="5"/>
  <c r="J5" i="3"/>
  <c r="L9" i="7"/>
  <c r="J8" i="13"/>
  <c r="F12" i="10"/>
  <c r="H34" i="13"/>
  <c r="J11" i="13"/>
  <c r="G17" i="7"/>
  <c r="F15" i="1"/>
  <c r="C40" i="1"/>
  <c r="C54" i="7"/>
  <c r="H22" i="11"/>
  <c r="H5" i="3"/>
  <c r="L11" i="13"/>
  <c r="C36" i="3"/>
  <c r="I14" i="7"/>
  <c r="H13" i="7"/>
  <c r="G15" i="1"/>
  <c r="J7" i="10"/>
  <c r="H6" i="10"/>
  <c r="I7" i="5"/>
  <c r="H10" i="11"/>
  <c r="H7" i="3"/>
  <c r="G15" i="11"/>
  <c r="J8" i="10"/>
  <c r="H31" i="11"/>
  <c r="I6" i="2"/>
  <c r="C30" i="6"/>
  <c r="H29" i="7"/>
  <c r="F13" i="6"/>
  <c r="H30" i="6"/>
  <c r="I9" i="2"/>
  <c r="H4" i="14"/>
  <c r="K8" i="13"/>
  <c r="K5" i="1"/>
  <c r="F12" i="3"/>
  <c r="J7" i="11"/>
  <c r="I8" i="1"/>
  <c r="H52" i="7"/>
  <c r="H38" i="7"/>
  <c r="I7" i="1"/>
  <c r="J14" i="13"/>
  <c r="H42" i="11"/>
  <c r="L14" i="7"/>
  <c r="I5" i="10"/>
  <c r="H11" i="11"/>
  <c r="J15" i="13"/>
  <c r="G9" i="16"/>
  <c r="F7" i="15"/>
  <c r="G9" i="8"/>
  <c r="I5" i="15"/>
  <c r="C26" i="21"/>
  <c r="H30" i="17"/>
  <c r="C36" i="19"/>
  <c r="C23" i="21"/>
  <c r="G4" i="18"/>
  <c r="C35" i="17"/>
  <c r="C27" i="19"/>
  <c r="C30" i="11"/>
  <c r="F8" i="7"/>
  <c r="F10" i="12"/>
  <c r="H40" i="3"/>
  <c r="H12" i="6"/>
  <c r="K13" i="13"/>
  <c r="C32" i="10"/>
  <c r="K8" i="10"/>
  <c r="H13" i="10"/>
  <c r="I13" i="10"/>
  <c r="C21" i="1"/>
  <c r="H5" i="13"/>
  <c r="F13" i="2"/>
  <c r="F10" i="7"/>
  <c r="F6" i="10"/>
  <c r="K10" i="10"/>
  <c r="F10" i="1"/>
  <c r="C27" i="6"/>
  <c r="G10" i="15"/>
  <c r="H20" i="8"/>
  <c r="L5" i="13"/>
  <c r="F9" i="13"/>
  <c r="G9" i="6"/>
  <c r="C32" i="7"/>
  <c r="C19" i="9"/>
  <c r="K7" i="1"/>
  <c r="I15" i="13"/>
  <c r="F9" i="8"/>
  <c r="H25" i="3"/>
  <c r="H6" i="2"/>
  <c r="H13" i="1"/>
  <c r="H5" i="2"/>
  <c r="I9" i="15"/>
  <c r="F7" i="10"/>
  <c r="K13" i="10"/>
  <c r="C22" i="18"/>
  <c r="C21" i="19"/>
  <c r="C36" i="18"/>
  <c r="C37" i="17"/>
  <c r="H19" i="21"/>
  <c r="G11" i="1"/>
  <c r="H41" i="19"/>
  <c r="C20" i="18"/>
  <c r="H27" i="21"/>
  <c r="H34" i="20"/>
  <c r="C25" i="18"/>
  <c r="C22" i="17"/>
  <c r="K6" i="18"/>
  <c r="C25" i="2"/>
  <c r="F12" i="7"/>
  <c r="F13" i="7" s="1"/>
  <c r="H10" i="12"/>
  <c r="H11" i="12" s="1"/>
  <c r="C40" i="2"/>
  <c r="I12" i="12"/>
  <c r="I13" i="12" s="1"/>
  <c r="H29" i="13"/>
  <c r="K13" i="7"/>
  <c r="I12" i="6"/>
  <c r="I13" i="6" s="1"/>
  <c r="H37" i="10"/>
  <c r="C20" i="15"/>
  <c r="H22" i="9"/>
  <c r="C22" i="11"/>
  <c r="H31" i="10"/>
  <c r="G10" i="11"/>
  <c r="F15" i="10"/>
  <c r="F11" i="10"/>
  <c r="G15" i="6"/>
  <c r="H42" i="6"/>
  <c r="C20" i="6"/>
  <c r="H26" i="2"/>
  <c r="C28" i="7"/>
  <c r="J9" i="1"/>
  <c r="K13" i="2"/>
  <c r="J4" i="2"/>
  <c r="J5" i="2" s="1"/>
  <c r="H49" i="7"/>
  <c r="K17" i="13"/>
  <c r="K12" i="11"/>
  <c r="K13" i="11" s="1"/>
  <c r="I8" i="3"/>
  <c r="H42" i="13"/>
  <c r="G13" i="12"/>
  <c r="K6" i="6"/>
  <c r="J17" i="13"/>
  <c r="J6" i="1"/>
  <c r="C37" i="12"/>
  <c r="H35" i="11"/>
  <c r="C26" i="2"/>
  <c r="C42" i="2"/>
  <c r="H10" i="3"/>
  <c r="J10" i="3"/>
  <c r="I14" i="3"/>
  <c r="J9" i="12"/>
  <c r="H14" i="8"/>
  <c r="H12" i="5"/>
  <c r="G10" i="7"/>
  <c r="F10" i="15"/>
  <c r="K8" i="3"/>
  <c r="H20" i="1"/>
  <c r="C21" i="6"/>
  <c r="F16" i="13"/>
  <c r="H39" i="13"/>
  <c r="H26" i="5"/>
  <c r="K10" i="3"/>
  <c r="I8" i="6"/>
  <c r="J7" i="6"/>
  <c r="H10" i="2"/>
  <c r="C20" i="2"/>
  <c r="J11" i="9"/>
  <c r="K4" i="13"/>
  <c r="F14" i="12"/>
  <c r="K9" i="13"/>
  <c r="G11" i="13"/>
  <c r="K4" i="2"/>
  <c r="I12" i="2"/>
  <c r="J17" i="7"/>
  <c r="H6" i="1"/>
  <c r="J11" i="3"/>
  <c r="C35" i="6"/>
  <c r="F13" i="10"/>
  <c r="H30" i="3"/>
  <c r="G10" i="2"/>
  <c r="H13" i="3"/>
  <c r="C36" i="1"/>
  <c r="K12" i="6"/>
  <c r="G9" i="11"/>
  <c r="H5" i="16"/>
  <c r="F9" i="2"/>
  <c r="H13" i="5"/>
  <c r="F11" i="16"/>
  <c r="I9" i="10"/>
  <c r="I7" i="15"/>
  <c r="G17" i="13"/>
  <c r="F11" i="15"/>
  <c r="C41" i="19"/>
  <c r="H42" i="17"/>
  <c r="H41" i="17"/>
  <c r="H25" i="17"/>
  <c r="H6" i="18"/>
  <c r="H7" i="18" s="1"/>
  <c r="C31" i="17"/>
  <c r="F7" i="17"/>
  <c r="I6" i="13"/>
  <c r="H26" i="12"/>
  <c r="C35" i="11"/>
  <c r="H20" i="10"/>
  <c r="J14" i="11"/>
  <c r="H18" i="5"/>
  <c r="H19" i="5"/>
  <c r="H31" i="3"/>
  <c r="G8" i="1"/>
  <c r="G9" i="1" s="1"/>
  <c r="H32" i="1"/>
  <c r="H38" i="13"/>
  <c r="I6" i="9"/>
  <c r="J10" i="12"/>
  <c r="J11" i="12" s="1"/>
  <c r="F15" i="13"/>
  <c r="G5" i="11"/>
  <c r="H4" i="1"/>
  <c r="H5" i="1" s="1"/>
  <c r="H27" i="9"/>
  <c r="K4" i="7"/>
  <c r="K5" i="7" s="1"/>
  <c r="J4" i="5"/>
  <c r="H22" i="3"/>
  <c r="C27" i="2"/>
  <c r="I5" i="7"/>
  <c r="C26" i="10"/>
  <c r="F9" i="9"/>
  <c r="H7" i="14"/>
  <c r="F9" i="7"/>
  <c r="H11" i="7"/>
  <c r="H4" i="12"/>
  <c r="H21" i="15"/>
  <c r="H12" i="12"/>
  <c r="H14" i="11"/>
  <c r="F13" i="1"/>
  <c r="J10" i="6"/>
  <c r="J11" i="6" s="1"/>
  <c r="F16" i="7"/>
  <c r="H44" i="13"/>
  <c r="C37" i="16"/>
  <c r="I15" i="10"/>
  <c r="J9" i="5"/>
  <c r="I13" i="13"/>
  <c r="H13" i="11"/>
  <c r="I9" i="5"/>
  <c r="F13" i="12"/>
  <c r="C41" i="3"/>
  <c r="H37" i="1"/>
  <c r="F9" i="6"/>
  <c r="H16" i="13"/>
  <c r="H25" i="10"/>
  <c r="C22" i="7"/>
  <c r="H15" i="3"/>
  <c r="C42" i="7"/>
  <c r="C30" i="3"/>
  <c r="F8" i="1"/>
  <c r="H15" i="6"/>
  <c r="I5" i="6"/>
  <c r="I12" i="7"/>
  <c r="H18" i="9"/>
  <c r="C41" i="2"/>
  <c r="I7" i="13"/>
  <c r="K6" i="2"/>
  <c r="H6" i="9"/>
  <c r="G5" i="2"/>
  <c r="G4" i="3"/>
  <c r="G5" i="3" s="1"/>
  <c r="C26" i="5"/>
  <c r="H44" i="7"/>
  <c r="H20" i="3"/>
  <c r="H7" i="6"/>
  <c r="J6" i="7"/>
  <c r="C23" i="7"/>
  <c r="F15" i="11"/>
  <c r="I5" i="13"/>
  <c r="H17" i="8"/>
  <c r="K16" i="7"/>
  <c r="H14" i="2"/>
  <c r="K9" i="12"/>
  <c r="F7" i="13"/>
  <c r="F9" i="16"/>
  <c r="G9" i="15"/>
  <c r="G13" i="1"/>
  <c r="K13" i="12"/>
  <c r="J11" i="5"/>
  <c r="F7" i="6"/>
  <c r="K7" i="13"/>
  <c r="G9" i="2"/>
  <c r="J15" i="11"/>
  <c r="K5" i="11"/>
  <c r="I7" i="16"/>
  <c r="G11" i="16"/>
  <c r="H11" i="16"/>
  <c r="H22" i="21"/>
  <c r="C37" i="18"/>
  <c r="C42" i="19"/>
  <c r="C37" i="19"/>
  <c r="C32" i="18"/>
  <c r="C20" i="17"/>
  <c r="H31" i="19"/>
  <c r="C42" i="17"/>
  <c r="C21" i="17"/>
  <c r="C30" i="21"/>
  <c r="C34" i="21"/>
  <c r="H22" i="17"/>
  <c r="H40" i="1"/>
  <c r="I4" i="3"/>
  <c r="J11" i="10"/>
  <c r="G11" i="7"/>
  <c r="F9" i="11"/>
  <c r="G9" i="12"/>
  <c r="G13" i="13"/>
  <c r="H5" i="15"/>
  <c r="G5" i="13"/>
  <c r="G5" i="15"/>
  <c r="F9" i="15"/>
  <c r="H7" i="15"/>
  <c r="G5" i="16"/>
  <c r="C30" i="18"/>
  <c r="C30" i="19"/>
  <c r="H31" i="17"/>
  <c r="H31" i="18"/>
  <c r="C30" i="17"/>
  <c r="H18" i="21"/>
  <c r="H30" i="21"/>
  <c r="C41" i="17"/>
  <c r="C32" i="19"/>
  <c r="C26" i="12"/>
  <c r="J8" i="2"/>
  <c r="J9" i="2" s="1"/>
  <c r="K7" i="12"/>
  <c r="K10" i="2"/>
  <c r="H14" i="13"/>
  <c r="H15" i="13" s="1"/>
  <c r="F10" i="11"/>
  <c r="F11" i="11" s="1"/>
  <c r="H40" i="12"/>
  <c r="H4" i="9"/>
  <c r="I8" i="7"/>
  <c r="I9" i="7" s="1"/>
  <c r="I12" i="1"/>
  <c r="C20" i="8"/>
  <c r="H32" i="7"/>
  <c r="J8" i="3"/>
  <c r="L4" i="7"/>
  <c r="K9" i="10"/>
  <c r="H25" i="16"/>
  <c r="H37" i="7"/>
  <c r="H35" i="12"/>
  <c r="H42" i="1"/>
  <c r="I6" i="6"/>
  <c r="I7" i="6" s="1"/>
  <c r="H41" i="10"/>
  <c r="J5" i="13"/>
  <c r="I7" i="3"/>
  <c r="C35" i="1"/>
  <c r="J7" i="9"/>
  <c r="J5" i="11"/>
  <c r="C26" i="3"/>
  <c r="K8" i="1"/>
  <c r="J5" i="7"/>
  <c r="H31" i="5"/>
  <c r="I4" i="1"/>
  <c r="I5" i="1" s="1"/>
  <c r="H20" i="6"/>
  <c r="C19" i="5"/>
  <c r="H11" i="3"/>
  <c r="C20" i="14"/>
  <c r="C37" i="6"/>
  <c r="C42" i="3"/>
  <c r="G9" i="10"/>
  <c r="H32" i="6"/>
  <c r="H25" i="2"/>
  <c r="C27" i="12"/>
  <c r="H22" i="1"/>
  <c r="I9" i="3"/>
  <c r="C34" i="5"/>
  <c r="J5" i="9"/>
  <c r="F7" i="16"/>
  <c r="H11" i="15"/>
  <c r="G13" i="6"/>
  <c r="I9" i="16"/>
  <c r="G11" i="15"/>
  <c r="I9" i="13"/>
  <c r="F15" i="3"/>
  <c r="F15" i="6"/>
  <c r="H36" i="19"/>
  <c r="H35" i="19"/>
  <c r="H20" i="17"/>
  <c r="C36" i="17"/>
  <c r="C20" i="19"/>
  <c r="C35" i="21"/>
  <c r="H35" i="21"/>
  <c r="C32" i="17"/>
  <c r="I5" i="16"/>
  <c r="C31" i="18"/>
  <c r="C26" i="19"/>
  <c r="C41" i="18"/>
  <c r="H32" i="17"/>
  <c r="C27" i="21"/>
  <c r="H36" i="17"/>
  <c r="H11" i="6"/>
  <c r="J7" i="3"/>
  <c r="H7" i="20"/>
  <c r="K13" i="19"/>
  <c r="J11" i="21"/>
  <c r="I9" i="19"/>
  <c r="K11" i="13"/>
  <c r="J5" i="19"/>
  <c r="J5" i="18"/>
  <c r="I9" i="21"/>
  <c r="G11" i="18"/>
  <c r="G9" i="17"/>
  <c r="F13" i="21"/>
  <c r="K9" i="3"/>
  <c r="I5" i="2"/>
  <c r="F13" i="9"/>
  <c r="F13" i="20"/>
  <c r="F9" i="20"/>
  <c r="F9" i="21"/>
  <c r="F7" i="20"/>
  <c r="F11" i="1"/>
  <c r="J15" i="3"/>
  <c r="F13" i="18"/>
  <c r="J7" i="18"/>
  <c r="G9" i="3"/>
  <c r="K5" i="18"/>
  <c r="I9" i="18"/>
  <c r="H17" i="13"/>
  <c r="G11" i="12"/>
  <c r="G5" i="19"/>
  <c r="J11" i="20"/>
  <c r="G13" i="17"/>
  <c r="G9" i="21"/>
  <c r="G9" i="20"/>
  <c r="G9" i="18"/>
  <c r="I9" i="20"/>
  <c r="H7" i="10"/>
  <c r="K11" i="18"/>
  <c r="J7" i="20"/>
  <c r="I5" i="3"/>
  <c r="K11" i="6"/>
  <c r="I13" i="5"/>
  <c r="J15" i="17"/>
  <c r="K5" i="17"/>
  <c r="J7" i="1"/>
  <c r="H13" i="20"/>
  <c r="J5" i="6"/>
  <c r="G5" i="17"/>
  <c r="H15" i="2"/>
  <c r="J9" i="3"/>
  <c r="F13" i="11"/>
  <c r="K7" i="17"/>
  <c r="I13" i="17"/>
  <c r="I7" i="18"/>
  <c r="G9" i="9"/>
  <c r="I15" i="19"/>
  <c r="H5" i="19"/>
  <c r="G11" i="17"/>
  <c r="L5" i="7"/>
  <c r="I15" i="18"/>
  <c r="I15" i="17"/>
  <c r="K5" i="2"/>
  <c r="G13" i="2"/>
  <c r="H13" i="6"/>
  <c r="F13" i="17"/>
  <c r="I9" i="17"/>
  <c r="K13" i="17"/>
  <c r="G5" i="18"/>
  <c r="K13" i="6"/>
  <c r="H5" i="6"/>
  <c r="K7" i="19"/>
  <c r="H31" i="21"/>
  <c r="H7" i="2"/>
  <c r="L13" i="13"/>
  <c r="H15" i="18"/>
  <c r="K13" i="18"/>
  <c r="F15" i="12"/>
  <c r="K9" i="2"/>
  <c r="G11" i="19"/>
  <c r="H7" i="21"/>
  <c r="K11" i="19"/>
  <c r="G9" i="19"/>
  <c r="K11" i="2"/>
  <c r="F11" i="18"/>
  <c r="H13" i="21"/>
  <c r="J9" i="19"/>
  <c r="H7" i="11"/>
  <c r="J5" i="20"/>
  <c r="J15" i="19"/>
  <c r="F11" i="5"/>
  <c r="F11" i="3"/>
  <c r="F11" i="12"/>
  <c r="I13" i="18"/>
  <c r="I5" i="20"/>
  <c r="F13" i="19"/>
  <c r="I13" i="19"/>
  <c r="K17" i="7"/>
  <c r="G11" i="11"/>
  <c r="J7" i="17"/>
  <c r="K11" i="17"/>
  <c r="K9" i="1"/>
  <c r="K5" i="19"/>
  <c r="J7" i="19"/>
  <c r="G11" i="20"/>
  <c r="F11" i="19"/>
  <c r="G11" i="21"/>
  <c r="G5" i="21"/>
  <c r="L7" i="7"/>
  <c r="G5" i="20"/>
  <c r="G13" i="19"/>
  <c r="L10" i="12" l="1"/>
  <c r="M11" i="12"/>
  <c r="L10" i="18"/>
  <c r="M11" i="18"/>
  <c r="L14" i="12"/>
  <c r="M15" i="12"/>
  <c r="L12" i="17"/>
  <c r="M13" i="17"/>
  <c r="L12" i="11"/>
  <c r="M13" i="11"/>
  <c r="L10" i="1"/>
  <c r="M11" i="1"/>
  <c r="K8" i="21"/>
  <c r="L9" i="21"/>
  <c r="K8" i="20"/>
  <c r="L9" i="20"/>
  <c r="L13" i="20"/>
  <c r="K12" i="20"/>
  <c r="K12" i="9"/>
  <c r="L13" i="9"/>
  <c r="J6" i="16"/>
  <c r="K7" i="16"/>
  <c r="K5" i="16"/>
  <c r="J4" i="16"/>
  <c r="K9" i="15"/>
  <c r="J8" i="15"/>
  <c r="J4" i="15"/>
  <c r="K5" i="15"/>
  <c r="M9" i="11"/>
  <c r="L8" i="11"/>
  <c r="K9" i="16"/>
  <c r="J8" i="16"/>
  <c r="N7" i="13"/>
  <c r="M6" i="13"/>
  <c r="M5" i="3"/>
  <c r="L4" i="3"/>
  <c r="L4" i="2"/>
  <c r="M5" i="2"/>
  <c r="K8" i="9"/>
  <c r="L9" i="9"/>
  <c r="M5" i="11"/>
  <c r="L4" i="11"/>
  <c r="K11" i="15"/>
  <c r="J10" i="15"/>
  <c r="J10" i="16"/>
  <c r="K11" i="16"/>
  <c r="L8" i="2"/>
  <c r="M9" i="2"/>
  <c r="L12" i="10"/>
  <c r="M13" i="10"/>
  <c r="L6" i="10"/>
  <c r="M7" i="10"/>
  <c r="I8" i="8"/>
  <c r="J9" i="8"/>
  <c r="K7" i="15"/>
  <c r="J6" i="15"/>
  <c r="M13" i="6"/>
  <c r="L12" i="6"/>
  <c r="M4" i="7"/>
  <c r="N5" i="7"/>
  <c r="K8" i="5"/>
  <c r="L9" i="5"/>
  <c r="L4" i="1"/>
  <c r="M5" i="1"/>
  <c r="M12" i="13"/>
  <c r="N13" i="13"/>
  <c r="L11" i="9"/>
  <c r="K10" i="9"/>
  <c r="I4" i="8"/>
  <c r="J5" i="8"/>
  <c r="M10" i="13"/>
  <c r="N11" i="13"/>
  <c r="L8" i="12"/>
  <c r="M9" i="12"/>
  <c r="M11" i="17"/>
  <c r="L10" i="17"/>
  <c r="F14" i="23"/>
  <c r="B36" i="23" s="1"/>
  <c r="F38" i="23" s="1"/>
  <c r="F30" i="22"/>
  <c r="J26" i="22" s="1"/>
  <c r="N18" i="22" s="1"/>
  <c r="F30" i="23"/>
  <c r="B40" i="23" s="1"/>
  <c r="F22" i="23"/>
  <c r="J26" i="23" s="1"/>
  <c r="N18" i="23" s="1"/>
  <c r="F22" i="22"/>
  <c r="B40" i="22" s="1"/>
  <c r="F6" i="23"/>
  <c r="J10" i="23" s="1"/>
  <c r="F14" i="22"/>
  <c r="J10" i="22" s="1"/>
  <c r="F6" i="22"/>
  <c r="B36" i="22" s="1"/>
  <c r="F38" i="22" s="1"/>
  <c r="J7" i="7"/>
  <c r="F9" i="1"/>
  <c r="H15" i="11"/>
  <c r="I7" i="9"/>
  <c r="H7" i="1"/>
  <c r="I9" i="6"/>
  <c r="K7" i="6"/>
  <c r="L15" i="7"/>
  <c r="I15" i="7"/>
  <c r="K11" i="11"/>
  <c r="I5" i="5"/>
  <c r="J9" i="6"/>
  <c r="F7" i="3"/>
  <c r="J15" i="10"/>
  <c r="F7" i="11"/>
  <c r="I15" i="6"/>
  <c r="J11" i="2"/>
  <c r="F7" i="1"/>
  <c r="H17" i="7"/>
  <c r="G5" i="9"/>
  <c r="F9" i="19"/>
  <c r="L15" i="13"/>
  <c r="F15" i="17"/>
  <c r="F15" i="18"/>
  <c r="J7" i="21"/>
  <c r="H5" i="17"/>
  <c r="J5" i="17"/>
  <c r="H7" i="9"/>
  <c r="F17" i="7"/>
  <c r="H13" i="12"/>
  <c r="G11" i="2"/>
  <c r="I13" i="2"/>
  <c r="K11" i="3"/>
  <c r="I9" i="1"/>
  <c r="H13" i="19"/>
  <c r="I15" i="11"/>
  <c r="G11" i="6"/>
  <c r="G11" i="10"/>
  <c r="K7" i="3"/>
  <c r="G15" i="2"/>
  <c r="F7" i="12"/>
  <c r="I15" i="1"/>
  <c r="K5" i="6"/>
  <c r="F11" i="20"/>
  <c r="J11" i="11"/>
  <c r="H5" i="21"/>
  <c r="J9" i="18"/>
  <c r="I7" i="20"/>
  <c r="I13" i="1"/>
  <c r="K7" i="2"/>
  <c r="H5" i="12"/>
  <c r="K5" i="13"/>
  <c r="F17" i="13"/>
  <c r="K11" i="10"/>
  <c r="F13" i="3"/>
  <c r="I7" i="2"/>
  <c r="F9" i="3"/>
  <c r="H7" i="5"/>
  <c r="G5" i="12"/>
  <c r="I7" i="7"/>
  <c r="F11" i="6"/>
  <c r="K11" i="7"/>
  <c r="H5" i="5"/>
  <c r="K7" i="11"/>
  <c r="J7" i="2"/>
  <c r="I5" i="19"/>
  <c r="I7" i="19"/>
  <c r="H7" i="17"/>
  <c r="G13" i="21"/>
  <c r="J9" i="17"/>
  <c r="G13" i="18"/>
  <c r="G15" i="19"/>
  <c r="H5" i="9"/>
  <c r="I13" i="7"/>
  <c r="J5" i="5"/>
  <c r="H11" i="2"/>
  <c r="I15" i="3"/>
  <c r="K7" i="18"/>
  <c r="F11" i="7"/>
  <c r="H5" i="14"/>
  <c r="J9" i="10"/>
  <c r="J9" i="13"/>
  <c r="K7" i="7"/>
  <c r="G9" i="7"/>
  <c r="F9" i="14"/>
  <c r="H13" i="2"/>
  <c r="H7" i="8"/>
  <c r="G11" i="5"/>
  <c r="G13" i="5"/>
  <c r="I5" i="9"/>
  <c r="H11" i="19"/>
  <c r="G5" i="10"/>
  <c r="I5" i="18"/>
  <c r="H11" i="20"/>
  <c r="F7" i="14"/>
  <c r="H5" i="20"/>
  <c r="F11" i="21"/>
  <c r="I7" i="21"/>
  <c r="L7" i="21" l="1"/>
  <c r="K6" i="21"/>
  <c r="K10" i="21"/>
  <c r="L11" i="21"/>
  <c r="L5" i="20"/>
  <c r="K4" i="20"/>
  <c r="J7" i="14"/>
  <c r="I6" i="14"/>
  <c r="L4" i="18"/>
  <c r="M5" i="18"/>
  <c r="M5" i="10"/>
  <c r="L4" i="10"/>
  <c r="L10" i="19"/>
  <c r="M11" i="19"/>
  <c r="L13" i="5"/>
  <c r="K12" i="5"/>
  <c r="K10" i="5"/>
  <c r="L11" i="5"/>
  <c r="I6" i="8"/>
  <c r="J7" i="8"/>
  <c r="L12" i="2"/>
  <c r="M13" i="2"/>
  <c r="I8" i="14"/>
  <c r="J9" i="14"/>
  <c r="M8" i="7"/>
  <c r="N9" i="7"/>
  <c r="M8" i="13"/>
  <c r="N9" i="13"/>
  <c r="M9" i="10"/>
  <c r="L8" i="10"/>
  <c r="J5" i="14"/>
  <c r="I4" i="14"/>
  <c r="M10" i="7"/>
  <c r="N11" i="7"/>
  <c r="L6" i="18"/>
  <c r="M7" i="18"/>
  <c r="M15" i="3"/>
  <c r="L14" i="3"/>
  <c r="N13" i="7"/>
  <c r="M12" i="7"/>
  <c r="L14" i="19"/>
  <c r="M15" i="19"/>
  <c r="M13" i="18"/>
  <c r="L12" i="18"/>
  <c r="L8" i="17"/>
  <c r="M9" i="17"/>
  <c r="K12" i="21"/>
  <c r="L13" i="21"/>
  <c r="L6" i="17"/>
  <c r="M7" i="17"/>
  <c r="M7" i="19"/>
  <c r="L6" i="19"/>
  <c r="M5" i="19"/>
  <c r="L4" i="19"/>
  <c r="L5" i="5"/>
  <c r="K4" i="5"/>
  <c r="L10" i="6"/>
  <c r="M11" i="6"/>
  <c r="M6" i="7"/>
  <c r="N7" i="7"/>
  <c r="M5" i="12"/>
  <c r="L4" i="12"/>
  <c r="L7" i="5"/>
  <c r="K6" i="5"/>
  <c r="L8" i="3"/>
  <c r="M9" i="3"/>
  <c r="M7" i="2"/>
  <c r="L6" i="2"/>
  <c r="M13" i="3"/>
  <c r="L12" i="3"/>
  <c r="M16" i="13"/>
  <c r="N17" i="13"/>
  <c r="N5" i="13"/>
  <c r="M4" i="13"/>
  <c r="L12" i="1"/>
  <c r="M13" i="1"/>
  <c r="K6" i="20"/>
  <c r="L7" i="20"/>
  <c r="M9" i="18"/>
  <c r="L8" i="18"/>
  <c r="L5" i="21"/>
  <c r="K4" i="21"/>
  <c r="M11" i="11"/>
  <c r="L10" i="11"/>
  <c r="K10" i="20"/>
  <c r="L11" i="20"/>
  <c r="L4" i="6"/>
  <c r="M5" i="6"/>
  <c r="M15" i="1"/>
  <c r="L14" i="1"/>
  <c r="M7" i="12"/>
  <c r="L6" i="12"/>
  <c r="M15" i="2"/>
  <c r="L14" i="2"/>
  <c r="L10" i="10"/>
  <c r="M11" i="10"/>
  <c r="L12" i="19"/>
  <c r="M13" i="19"/>
  <c r="M11" i="3"/>
  <c r="L10" i="3"/>
  <c r="L10" i="2"/>
  <c r="M11" i="2"/>
  <c r="L12" i="12"/>
  <c r="M13" i="12"/>
  <c r="N17" i="7"/>
  <c r="M16" i="7"/>
  <c r="K6" i="9"/>
  <c r="L7" i="9"/>
  <c r="M5" i="17"/>
  <c r="L4" i="17"/>
  <c r="L14" i="18"/>
  <c r="M15" i="18"/>
  <c r="L14" i="17"/>
  <c r="M15" i="17"/>
  <c r="N15" i="13"/>
  <c r="M14" i="13"/>
  <c r="M9" i="19"/>
  <c r="L8" i="19"/>
  <c r="L5" i="9"/>
  <c r="K4" i="9"/>
  <c r="L6" i="1"/>
  <c r="M7" i="1"/>
  <c r="L14" i="6"/>
  <c r="M15" i="6"/>
  <c r="M7" i="11"/>
  <c r="L6" i="11"/>
  <c r="L14" i="10"/>
  <c r="M15" i="10"/>
  <c r="M7" i="3"/>
  <c r="L6" i="3"/>
  <c r="M14" i="7"/>
  <c r="N15" i="7"/>
  <c r="M7" i="6"/>
  <c r="L6" i="6"/>
  <c r="M9" i="6"/>
  <c r="L8" i="6"/>
  <c r="M15" i="11"/>
  <c r="L14" i="11"/>
  <c r="M9" i="1"/>
  <c r="L8" i="1"/>
</calcChain>
</file>

<file path=xl/sharedStrings.xml><?xml version="1.0" encoding="utf-8"?>
<sst xmlns="http://schemas.openxmlformats.org/spreadsheetml/2006/main" count="905" uniqueCount="254">
  <si>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</si>
  <si>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</si>
  <si>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</si>
  <si>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</si>
  <si>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</si>
  <si>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</si>
  <si>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</si>
  <si>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</si>
  <si>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</si>
  <si>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</si>
  <si>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</si>
  <si>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r>
      <t>Санкт-Петербург.</t>
    </r>
    <r>
      <rPr>
        <sz val="8"/>
        <color rgb="FF4C4C4C"/>
        <rFont val="Trebuchet MS"/>
        <family val="2"/>
        <charset val="204"/>
      </rPr>
      <t> </t>
    </r>
  </si>
  <si>
    <r>
      <t>1.</t>
    </r>
    <r>
      <rPr>
        <strike/>
        <sz val="8"/>
        <color rgb="FF4C4C4C"/>
        <rFont val="Trebuchet MS"/>
        <family val="2"/>
        <charset val="204"/>
      </rPr>
      <t> Федотов </t>
    </r>
  </si>
  <si>
    <r>
      <t>2. Ткаченко Алексей </t>
    </r>
    <r>
      <rPr>
        <sz val="8"/>
        <color rgb="FF4C4C4C"/>
        <rFont val="Trebuchet MS"/>
        <family val="2"/>
        <charset val="204"/>
      </rPr>
      <t>Перенос в Калугу </t>
    </r>
  </si>
  <si>
    <t>1. Павлова И </t>
  </si>
  <si>
    <t>2. Ткаченко Анна </t>
  </si>
  <si>
    <t>3. Рылова Д. </t>
  </si>
  <si>
    <r>
      <t>Москва.</t>
    </r>
    <r>
      <rPr>
        <sz val="8"/>
        <color rgb="FF4C4C4C"/>
        <rFont val="Trebuchet MS"/>
        <family val="2"/>
        <charset val="204"/>
      </rPr>
      <t> </t>
    </r>
  </si>
  <si>
    <t>1. Давыдов (вечер, если 20.01) </t>
  </si>
  <si>
    <r>
      <t>2.</t>
    </r>
    <r>
      <rPr>
        <sz val="8"/>
        <color rgb="FF0000FF"/>
        <rFont val="Trebuchet MS"/>
        <family val="2"/>
        <charset val="204"/>
      </rPr>
      <t> Комаров (20.01)</t>
    </r>
    <r>
      <rPr>
        <sz val="8"/>
        <color rgb="FF4C4C4C"/>
        <rFont val="Trebuchet MS"/>
        <family val="2"/>
        <charset val="204"/>
      </rPr>
      <t> </t>
    </r>
  </si>
  <si>
    <t>3. Лютиков (21.01) </t>
  </si>
  <si>
    <t>4. Петрушко Алексей </t>
  </si>
  <si>
    <r>
      <t>5. </t>
    </r>
    <r>
      <rPr>
        <sz val="8"/>
        <color rgb="FF0000FF"/>
        <rFont val="Trebuchet MS"/>
        <family val="2"/>
        <charset val="204"/>
      </rPr>
      <t>Канзари Ваэль</t>
    </r>
    <r>
      <rPr>
        <sz val="8"/>
        <color rgb="FF4C4C4C"/>
        <rFont val="Trebuchet MS"/>
        <family val="2"/>
        <charset val="204"/>
      </rPr>
      <t> </t>
    </r>
  </si>
  <si>
    <t>6. Трофимов А </t>
  </si>
  <si>
    <t>7. Борисов (21.01) </t>
  </si>
  <si>
    <t>8. Осокин Е (20.01)————утро——— </t>
  </si>
  <si>
    <t>9. Воронов (20.10) </t>
  </si>
  <si>
    <t>10. Овчинников. </t>
  </si>
  <si>
    <t>11. Гаджиев (21.01) </t>
  </si>
  <si>
    <t>12. Сутырин (21.01) </t>
  </si>
  <si>
    <t>13. Земцов С. </t>
  </si>
  <si>
    <t>14. Бондарь А. </t>
  </si>
  <si>
    <r>
      <t>15.</t>
    </r>
    <r>
      <rPr>
        <sz val="8"/>
        <color rgb="FF0000FF"/>
        <rFont val="Trebuchet MS"/>
        <family val="2"/>
        <charset val="204"/>
      </rPr>
      <t> Дубовицкий И (20.01</t>
    </r>
    <r>
      <rPr>
        <sz val="8"/>
        <color rgb="FF4C4C4C"/>
        <rFont val="Trebuchet MS"/>
        <family val="2"/>
        <charset val="204"/>
      </rPr>
      <t>) </t>
    </r>
  </si>
  <si>
    <t>16. Бердыев </t>
  </si>
  <si>
    <t>17. Ялынский </t>
  </si>
  <si>
    <t>18. Трофимов (21.01) </t>
  </si>
  <si>
    <t>19. Чащин В (21.01) </t>
  </si>
  <si>
    <t>20. Ницинский (20.01) </t>
  </si>
  <si>
    <t>21. Тихонов Д (20.01) </t>
  </si>
  <si>
    <t>22. Ли (20.01) </t>
  </si>
  <si>
    <t>23. Карасев </t>
  </si>
  <si>
    <t>24. Всеволод Журавлев (20.01.1 </t>
  </si>
  <si>
    <r>
      <t>25. </t>
    </r>
    <r>
      <rPr>
        <strike/>
        <sz val="8"/>
        <color rgb="FF4C4C4C"/>
        <rFont val="Trebuchet MS"/>
        <family val="2"/>
        <charset val="204"/>
      </rPr>
      <t>Денисов</t>
    </r>
    <r>
      <rPr>
        <sz val="8"/>
        <color rgb="FF4C4C4C"/>
        <rFont val="Trebuchet MS"/>
        <family val="2"/>
        <charset val="204"/>
      </rPr>
      <t> ———————снялся—————— </t>
    </r>
  </si>
  <si>
    <t>26. Судник Виктор (21.01) </t>
  </si>
  <si>
    <t>27. Шахов С. </t>
  </si>
  <si>
    <r>
      <t>28. </t>
    </r>
    <r>
      <rPr>
        <sz val="8"/>
        <color rgb="FFFF0000"/>
        <rFont val="Trebuchet MS"/>
        <family val="2"/>
        <charset val="204"/>
      </rPr>
      <t>Агапов Александр</t>
    </r>
    <r>
      <rPr>
        <sz val="8"/>
        <color rgb="FF4C4C4C"/>
        <rFont val="Trebuchet MS"/>
        <family val="2"/>
        <charset val="204"/>
      </rPr>
      <t> </t>
    </r>
  </si>
  <si>
    <r>
      <t>29. Костин</t>
    </r>
    <r>
      <rPr>
        <sz val="8"/>
        <color rgb="FF000000"/>
        <rFont val="Trebuchet MS"/>
        <family val="2"/>
        <charset val="204"/>
      </rPr>
      <t> (21.01)</t>
    </r>
    <r>
      <rPr>
        <sz val="8"/>
        <color rgb="FF4C4C4C"/>
        <rFont val="Trebuchet MS"/>
        <family val="2"/>
        <charset val="204"/>
      </rPr>
      <t> </t>
    </r>
  </si>
  <si>
    <r>
      <t>30. Гулинин Е. (21.01)</t>
    </r>
    <r>
      <rPr>
        <sz val="8"/>
        <color rgb="FF4C4C4C"/>
        <rFont val="Trebuchet MS"/>
        <family val="2"/>
        <charset val="204"/>
      </rPr>
      <t> </t>
    </r>
  </si>
  <si>
    <t>31. Дружинин </t>
  </si>
  <si>
    <r>
      <t>1. </t>
    </r>
    <r>
      <rPr>
        <sz val="8"/>
        <color rgb="FF0000FF"/>
        <rFont val="Trebuchet MS"/>
        <family val="2"/>
        <charset val="204"/>
      </rPr>
      <t>Комарова (20.01</t>
    </r>
    <r>
      <rPr>
        <sz val="8"/>
        <color rgb="FF4C4C4C"/>
        <rFont val="Trebuchet MS"/>
        <family val="2"/>
        <charset val="204"/>
      </rPr>
      <t>) </t>
    </r>
  </si>
  <si>
    <t>2. Петрушко Юля </t>
  </si>
  <si>
    <r>
      <t>3. </t>
    </r>
    <r>
      <rPr>
        <sz val="8"/>
        <color rgb="FF0000FF"/>
        <rFont val="Trebuchet MS"/>
        <family val="2"/>
        <charset val="204"/>
      </rPr>
      <t>Канзари Татьяна</t>
    </r>
    <r>
      <rPr>
        <sz val="8"/>
        <color rgb="FF4C4C4C"/>
        <rFont val="Trebuchet MS"/>
        <family val="2"/>
        <charset val="204"/>
      </rPr>
      <t> </t>
    </r>
  </si>
  <si>
    <t>4. Зубова </t>
  </si>
  <si>
    <t>5. Никандрова (20.01) </t>
  </si>
  <si>
    <t>6. Туртурика (20.01) </t>
  </si>
  <si>
    <r>
      <t>7. С</t>
    </r>
    <r>
      <rPr>
        <strike/>
        <sz val="8"/>
        <color rgb="FF4C4C4C"/>
        <rFont val="Trebuchet MS"/>
        <family val="2"/>
        <charset val="204"/>
      </rPr>
      <t>удник Ксения (20.01) снялась</t>
    </r>
    <r>
      <rPr>
        <sz val="8"/>
        <color rgb="FF4C4C4C"/>
        <rFont val="Trebuchet MS"/>
        <family val="2"/>
        <charset val="204"/>
      </rPr>
      <t> </t>
    </r>
  </si>
  <si>
    <r>
      <t>8. </t>
    </r>
    <r>
      <rPr>
        <sz val="8"/>
        <color rgb="FF0000FF"/>
        <rFont val="Trebuchet MS"/>
        <family val="2"/>
        <charset val="204"/>
      </rPr>
      <t>Дубовицкая О (20.01</t>
    </r>
    <r>
      <rPr>
        <sz val="8"/>
        <color rgb="FF4C4C4C"/>
        <rFont val="Trebuchet MS"/>
        <family val="2"/>
        <charset val="204"/>
      </rPr>
      <t>) </t>
    </r>
  </si>
  <si>
    <t>9. Курбанова </t>
  </si>
  <si>
    <t>10. Савченко Е (20.01) </t>
  </si>
  <si>
    <r>
      <t>11. </t>
    </r>
    <r>
      <rPr>
        <sz val="8"/>
        <color rgb="FFFF0000"/>
        <rFont val="Trebuchet MS"/>
        <family val="2"/>
        <charset val="204"/>
      </rPr>
      <t>Агапова А (утро и разные дни с Агаповым)</t>
    </r>
    <r>
      <rPr>
        <sz val="8"/>
        <color rgb="FF4C4C4C"/>
        <rFont val="Trebuchet MS"/>
        <family val="2"/>
        <charset val="204"/>
      </rPr>
      <t> </t>
    </r>
  </si>
  <si>
    <t>12. Трофимова (20.01) </t>
  </si>
  <si>
    <t>13. Грачанац Н (21.01) </t>
  </si>
  <si>
    <t>14. Тюрина (21.01) </t>
  </si>
  <si>
    <t>15. Артюхина (21.01) </t>
  </si>
  <si>
    <t>16. Борисова Л (21.01) </t>
  </si>
  <si>
    <t>17. Фатима Кайтукова (20.01 утро) </t>
  </si>
  <si>
    <r>
      <t>Десногорск.</t>
    </r>
    <r>
      <rPr>
        <sz val="8"/>
        <color rgb="FF4C4C4C"/>
        <rFont val="Trebuchet MS"/>
        <family val="2"/>
        <charset val="204"/>
      </rPr>
      <t> </t>
    </r>
  </si>
  <si>
    <t>1. Базарев </t>
  </si>
  <si>
    <t>2. Санников О </t>
  </si>
  <si>
    <t>3. Медведев, </t>
  </si>
  <si>
    <t>4. Гришков </t>
  </si>
  <si>
    <t>5. Дурынчев Е, </t>
  </si>
  <si>
    <t>6. Стрельчук А., </t>
  </si>
  <si>
    <t>7. Стрельчук Д., </t>
  </si>
  <si>
    <t>8. Кривулин В., </t>
  </si>
  <si>
    <t>9. Костин Ю., </t>
  </si>
  <si>
    <t>10. Тимченко Виктор, </t>
  </si>
  <si>
    <t>11. Догадин Е. </t>
  </si>
  <si>
    <t>12. Уткин А </t>
  </si>
  <si>
    <t>13. Акинин </t>
  </si>
  <si>
    <t>14. Аниськин </t>
  </si>
  <si>
    <t>1. Санникова Л. </t>
  </si>
  <si>
    <t>2. Медведева </t>
  </si>
  <si>
    <t>3. Скляр Светлана </t>
  </si>
  <si>
    <t>4. Дурынчева Т., </t>
  </si>
  <si>
    <t>5. Бублик Татьяна </t>
  </si>
  <si>
    <t>6. Рязанская Любовь </t>
  </si>
  <si>
    <t>7. Шкредова </t>
  </si>
  <si>
    <r>
      <t>Калуга.</t>
    </r>
    <r>
      <rPr>
        <sz val="8"/>
        <color rgb="FF4C4C4C"/>
        <rFont val="Trebuchet MS"/>
        <family val="2"/>
        <charset val="204"/>
      </rPr>
      <t> </t>
    </r>
  </si>
  <si>
    <t>1. Корнеевский В </t>
  </si>
  <si>
    <t>2. Капран (4) </t>
  </si>
  <si>
    <t>3. Рядовиков А </t>
  </si>
  <si>
    <t>4. Банщиков А., </t>
  </si>
  <si>
    <t>5. Шундрин М., </t>
  </si>
  <si>
    <t>6. Жилин Д. (1) </t>
  </si>
  <si>
    <t>7. Гоцфрид К. (2) </t>
  </si>
  <si>
    <t>8. Блинов В. </t>
  </si>
  <si>
    <r>
      <t>1. </t>
    </r>
    <r>
      <rPr>
        <strike/>
        <sz val="8"/>
        <color rgb="FF4C4C4C"/>
        <rFont val="Trebuchet MS"/>
        <family val="2"/>
        <charset val="204"/>
      </rPr>
      <t>Байкова </t>
    </r>
  </si>
  <si>
    <t>2. Корнеевская А. </t>
  </si>
  <si>
    <t>3. Алкина С., </t>
  </si>
  <si>
    <t>4. Баринова С. </t>
  </si>
  <si>
    <t>всего участников: </t>
  </si>
  <si>
    <r>
      <t>Итого, на 13.01 84 участника [м-54 и ж-30]</t>
    </r>
    <r>
      <rPr>
        <sz val="8"/>
        <color rgb="FF4C4C4C"/>
        <rFont val="Trebuchet MS"/>
        <family val="2"/>
        <charset val="204"/>
      </rPr>
      <t> </t>
    </r>
  </si>
  <si>
    <t>Группа М1 Москва 20.01</t>
  </si>
  <si>
    <t>Группа Ж1 Москва 20.01</t>
  </si>
  <si>
    <t>Группа Ж2 Москва 20.01</t>
  </si>
  <si>
    <t>Группа М6 Десногорск 20.01</t>
  </si>
  <si>
    <t>Тур 6</t>
  </si>
  <si>
    <t>Тур 7</t>
  </si>
  <si>
    <t>Группа Ж4 Десногорск 20.01</t>
  </si>
  <si>
    <t>Группа Ж5 Питер 20.01</t>
  </si>
  <si>
    <t>Группа Ж3 Москва 21.01</t>
  </si>
  <si>
    <t>Ткаченко Анна</t>
  </si>
  <si>
    <t>Рылова Дария</t>
  </si>
  <si>
    <t>Павлова Ирина</t>
  </si>
  <si>
    <t>13:8</t>
  </si>
  <si>
    <t>10:13</t>
  </si>
  <si>
    <t>13:5</t>
  </si>
  <si>
    <t>11:13</t>
  </si>
  <si>
    <t>13:10</t>
  </si>
  <si>
    <t>Скляр Светлана</t>
  </si>
  <si>
    <t>Бублик Татьяна</t>
  </si>
  <si>
    <t>Рязанская Любовь</t>
  </si>
  <si>
    <t>Шкредова Эвелина</t>
  </si>
  <si>
    <t>Санникова Лариса</t>
  </si>
  <si>
    <t>Дурынчева Татьяна</t>
  </si>
  <si>
    <t>Медведева Елена</t>
  </si>
  <si>
    <t>Группа М3 Москва 21.01</t>
  </si>
  <si>
    <t>Группа М5 Москва 21.01</t>
  </si>
  <si>
    <t>Группа М4 Москва 21.01</t>
  </si>
  <si>
    <t>Тюрина Елена</t>
  </si>
  <si>
    <t>Канзари Татьяна</t>
  </si>
  <si>
    <t>Артюхина Елена</t>
  </si>
  <si>
    <t>Зубова Наталья</t>
  </si>
  <si>
    <t>Борисова Лилия</t>
  </si>
  <si>
    <t>Костин Игорь</t>
  </si>
  <si>
    <t>Борисов Александр</t>
  </si>
  <si>
    <t>Тихонов Дмитрий</t>
  </si>
  <si>
    <t>Овчинников Тимофей</t>
  </si>
  <si>
    <t>Бондарь Андрей</t>
  </si>
  <si>
    <t>Канзари Ваэль</t>
  </si>
  <si>
    <t>1 поб</t>
  </si>
  <si>
    <t>0 поб</t>
  </si>
  <si>
    <t>2 поб</t>
  </si>
  <si>
    <t>Давыдов Андрей</t>
  </si>
  <si>
    <t>Судник Виктор</t>
  </si>
  <si>
    <t>Гулинин Евгений</t>
  </si>
  <si>
    <t>Гаджиев Сеявуш</t>
  </si>
  <si>
    <t>Шахов Сергей</t>
  </si>
  <si>
    <t>Сутырин Виктор</t>
  </si>
  <si>
    <t>Агапов Александр</t>
  </si>
  <si>
    <t>Лютиков Александр</t>
  </si>
  <si>
    <t>Трофимов Денис</t>
  </si>
  <si>
    <t>Карасев Виталий</t>
  </si>
  <si>
    <t>Земцов Сергей</t>
  </si>
  <si>
    <t>Дружинин Олег</t>
  </si>
  <si>
    <t>Группа М7 Десногорск 21.01</t>
  </si>
  <si>
    <t>Уткин Андрей</t>
  </si>
  <si>
    <t>Стрельчук Артем</t>
  </si>
  <si>
    <t>Базарев Дмитрий</t>
  </si>
  <si>
    <t>Тимченко Виктор</t>
  </si>
  <si>
    <t>Кривулин Виталий</t>
  </si>
  <si>
    <t>Медведев Игорь</t>
  </si>
  <si>
    <t>Санников Олег</t>
  </si>
  <si>
    <t>Группа Ж6 Калуга 27.01</t>
  </si>
  <si>
    <t>Трофимова Катерина</t>
  </si>
  <si>
    <t>Дубовицкая Ольга</t>
  </si>
  <si>
    <t>Грачанац Наталья</t>
  </si>
  <si>
    <t>Агапова Кристина</t>
  </si>
  <si>
    <t>Кайтукова Фатима</t>
  </si>
  <si>
    <t>Савченко Елена</t>
  </si>
  <si>
    <t>Комарова Елена</t>
  </si>
  <si>
    <t>Туртурика Светлана</t>
  </si>
  <si>
    <t>Курбанова Маргарита</t>
  </si>
  <si>
    <t>Петрушко Юлия</t>
  </si>
  <si>
    <t>Никандрова Юлия</t>
  </si>
  <si>
    <t>Трофимов Александр</t>
  </si>
  <si>
    <t>Чашин Василий</t>
  </si>
  <si>
    <t>Осокин Евгений</t>
  </si>
  <si>
    <t>Дубовицкий Игорь</t>
  </si>
  <si>
    <t>Журавлев Всеволод</t>
  </si>
  <si>
    <t>Воронов Олег</t>
  </si>
  <si>
    <t>Ялынский Леонид</t>
  </si>
  <si>
    <t>Бердыев Борис</t>
  </si>
  <si>
    <t>Комаров Александр</t>
  </si>
  <si>
    <t>Ли Александр</t>
  </si>
  <si>
    <t>Петрушко Алексей</t>
  </si>
  <si>
    <t>Ницинский Станислав</t>
  </si>
  <si>
    <t>Догадин Евгений</t>
  </si>
  <si>
    <t>Акимов Сергей</t>
  </si>
  <si>
    <t>Гришков Сергей</t>
  </si>
  <si>
    <t>Костин Юрий</t>
  </si>
  <si>
    <t>Стрельчук Дмитрий</t>
  </si>
  <si>
    <t>Аниськин Сергей</t>
  </si>
  <si>
    <t>Группа М8. Калуга. 27.01.2018</t>
  </si>
  <si>
    <t>Группа М9. Калуга. 27.01.2018</t>
  </si>
  <si>
    <t>Жилин Дмитрий</t>
  </si>
  <si>
    <t>Рядовиков Алексей</t>
  </si>
  <si>
    <t>Банщиков Андрей</t>
  </si>
  <si>
    <t>Капран Сергей</t>
  </si>
  <si>
    <t>Гоцфрид Константин</t>
  </si>
  <si>
    <t>Корнеевский Владимир</t>
  </si>
  <si>
    <t>Шундрин Михаил</t>
  </si>
  <si>
    <t>Блинов Валерий</t>
  </si>
  <si>
    <t>Шундрин</t>
  </si>
  <si>
    <t>Банщиков</t>
  </si>
  <si>
    <t>7:13</t>
  </si>
  <si>
    <t>Стыковая</t>
  </si>
  <si>
    <t>Алкина Светлана</t>
  </si>
  <si>
    <t>Баринова Светлана</t>
  </si>
  <si>
    <t>Корнеевская Анна</t>
  </si>
  <si>
    <t>12:7</t>
  </si>
  <si>
    <t>10:12</t>
  </si>
  <si>
    <t>6:13</t>
  </si>
  <si>
    <t>мужчины</t>
  </si>
  <si>
    <t>Группа F1. Калуга. 28.01.18</t>
  </si>
  <si>
    <t>Группа F3. Калуга. 28.01.18</t>
  </si>
  <si>
    <t>Группа G1. Калуга. 28.01.18</t>
  </si>
  <si>
    <t>женщины</t>
  </si>
  <si>
    <t>Группа G2. Калуга. 28.01.18</t>
  </si>
  <si>
    <t>Финал зимнего тет-а-тет</t>
  </si>
  <si>
    <t>G1</t>
  </si>
  <si>
    <t>G2</t>
  </si>
  <si>
    <t>F1</t>
  </si>
  <si>
    <t>F2</t>
  </si>
  <si>
    <t>F3</t>
  </si>
  <si>
    <t>Чашин</t>
  </si>
  <si>
    <t>Уткин</t>
  </si>
  <si>
    <t>Судник</t>
  </si>
  <si>
    <t>Базарев</t>
  </si>
  <si>
    <t>Костин</t>
  </si>
  <si>
    <t>Группа F2. Калуга. 28.01.18</t>
  </si>
  <si>
    <t>Гаджиев</t>
  </si>
  <si>
    <t>Рядовиков</t>
  </si>
  <si>
    <t>Тихонов</t>
  </si>
  <si>
    <t>Гулинин</t>
  </si>
  <si>
    <t>Осокин</t>
  </si>
  <si>
    <t>Давыдов</t>
  </si>
  <si>
    <t>Догадин</t>
  </si>
  <si>
    <t>Гоцфрид</t>
  </si>
  <si>
    <t>Медведев</t>
  </si>
  <si>
    <t>Борисов</t>
  </si>
  <si>
    <t>Ницинский</t>
  </si>
  <si>
    <t>Корнеевская</t>
  </si>
  <si>
    <t>Дурынчева</t>
  </si>
  <si>
    <t>Артюхина</t>
  </si>
  <si>
    <t>Ткаченко</t>
  </si>
  <si>
    <t>Бублик</t>
  </si>
  <si>
    <t>Туртурика</t>
  </si>
  <si>
    <t>Комарова</t>
  </si>
  <si>
    <t>Санникова</t>
  </si>
  <si>
    <t>Тюрина</t>
  </si>
  <si>
    <t xml:space="preserve"> </t>
  </si>
  <si>
    <t>Дубовицкая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</si>
</sst>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8"/>
      <color rgb="FF4C4C4C"/>
      <name val="Trebuchet MS"/>
      <family val="2"/>
      <charset val="204"/>
    </font>
    <font>
      <sz val="8"/>
      <color rgb="FF4C4C4C"/>
      <name val="Trebuchet MS"/>
      <family val="2"/>
      <charset val="204"/>
    </font>
    <font>
      <strike/>
      <sz val="8"/>
      <color rgb="FF4C4C4C"/>
      <name val="Trebuchet MS"/>
      <family val="2"/>
      <charset val="204"/>
    </font>
    <font>
      <sz val="8"/>
      <color rgb="FF0000FF"/>
      <name val="Trebuchet MS"/>
      <family val="2"/>
      <charset val="204"/>
    </font>
    <font>
      <sz val="8"/>
      <color rgb="FFFF0000"/>
      <name val="Trebuchet MS"/>
      <family val="2"/>
      <charset val="204"/>
    </font>
    <font>
      <sz val="8"/>
      <color rgb="FF111111"/>
      <name val="Trebuchet MS"/>
      <family val="2"/>
      <charset val="204"/>
    </font>
    <font>
      <sz val="8"/>
      <color rgb="FF000000"/>
      <name val="Trebuchet MS"/>
      <family val="2"/>
      <charset val="204"/>
    </font>
    <font>
      <b/>
      <i/>
      <sz val="8"/>
      <color rgb="FFFF0000"/>
      <name val="Trebuchet MS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/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5" fontId="5" fillId="0" borderId="27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49" fontId="18" fillId="0" borderId="0" xfId="0" applyNumberFormat="1" applyFont="1" applyAlignment="1">
      <alignment horizontal="center"/>
    </xf>
    <xf numFmtId="0" fontId="1" fillId="0" borderId="0" xfId="0" applyFont="1"/>
    <xf numFmtId="0" fontId="19" fillId="0" borderId="0" xfId="0" applyFont="1"/>
    <xf numFmtId="0" fontId="0" fillId="0" borderId="0" xfId="0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 indent="1"/>
    </xf>
    <xf numFmtId="0" fontId="4" fillId="3" borderId="18" xfId="0" applyFont="1" applyFill="1" applyBorder="1" applyAlignment="1">
      <alignment horizontal="left" vertical="center" wrapText="1" indent="1"/>
    </xf>
    <xf numFmtId="0" fontId="4" fillId="3" borderId="19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 indent="1"/>
    </xf>
    <xf numFmtId="0" fontId="4" fillId="3" borderId="28" xfId="0" applyFont="1" applyFill="1" applyBorder="1" applyAlignment="1">
      <alignment horizontal="left" vertical="center" wrapText="1" indent="1"/>
    </xf>
    <xf numFmtId="0" fontId="4" fillId="3" borderId="29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11" xfId="0" applyFont="1" applyFill="1" applyBorder="1" applyAlignment="1">
      <alignment horizontal="left" vertical="center" wrapText="1" indent="1"/>
    </xf>
    <xf numFmtId="0" fontId="4" fillId="0" borderId="2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152400</xdr:rowOff>
    </xdr:to>
    <xdr:pic>
      <xdr:nvPicPr>
        <xdr:cNvPr id="2" name="Рисунок 1" descr="8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>
      <selection activeCell="B21" sqref="B21"/>
    </sheetView>
  </sheetViews>
  <sheetFormatPr defaultRowHeight="15" x14ac:dyDescent="0.25"/>
  <cols>
    <col min="1" max="1" width="33.28515625" customWidth="1"/>
  </cols>
  <sheetData>
    <row r="1" spans="1:1" ht="15.75" x14ac:dyDescent="0.3">
      <c r="A1" s="35" t="s">
        <v>11</v>
      </c>
    </row>
    <row r="2" spans="1:1" ht="15.75" x14ac:dyDescent="0.3">
      <c r="A2" s="36" t="s">
        <v>12</v>
      </c>
    </row>
    <row r="3" spans="1:1" ht="15.75" x14ac:dyDescent="0.3">
      <c r="A3" s="37" t="s">
        <v>13</v>
      </c>
    </row>
    <row r="5" spans="1:1" ht="15.75" x14ac:dyDescent="0.3">
      <c r="A5" s="36" t="s">
        <v>14</v>
      </c>
    </row>
    <row r="6" spans="1:1" ht="15.75" x14ac:dyDescent="0.3">
      <c r="A6" s="36" t="s">
        <v>15</v>
      </c>
    </row>
    <row r="7" spans="1:1" ht="15.75" x14ac:dyDescent="0.3">
      <c r="A7" s="36" t="s">
        <v>16</v>
      </c>
    </row>
    <row r="9" spans="1:1" ht="15.75" x14ac:dyDescent="0.3">
      <c r="A9" s="35" t="s">
        <v>17</v>
      </c>
    </row>
    <row r="10" spans="1:1" ht="15.75" x14ac:dyDescent="0.3">
      <c r="A10" s="36" t="s">
        <v>18</v>
      </c>
    </row>
    <row r="11" spans="1:1" ht="15.75" x14ac:dyDescent="0.3">
      <c r="A11" s="36" t="s">
        <v>19</v>
      </c>
    </row>
    <row r="12" spans="1:1" ht="15.75" x14ac:dyDescent="0.3">
      <c r="A12" s="36" t="s">
        <v>20</v>
      </c>
    </row>
    <row r="13" spans="1:1" ht="15.75" x14ac:dyDescent="0.3">
      <c r="A13" s="36" t="s">
        <v>21</v>
      </c>
    </row>
    <row r="14" spans="1:1" ht="15.75" x14ac:dyDescent="0.3">
      <c r="A14" s="36" t="s">
        <v>22</v>
      </c>
    </row>
    <row r="15" spans="1:1" ht="15.75" x14ac:dyDescent="0.3">
      <c r="A15" s="36" t="s">
        <v>23</v>
      </c>
    </row>
    <row r="16" spans="1:1" ht="15.75" x14ac:dyDescent="0.3">
      <c r="A16" s="36" t="s">
        <v>24</v>
      </c>
    </row>
    <row r="17" spans="1:1" ht="15.75" x14ac:dyDescent="0.3">
      <c r="A17" s="36" t="s">
        <v>25</v>
      </c>
    </row>
    <row r="18" spans="1:1" ht="15.75" x14ac:dyDescent="0.3">
      <c r="A18" s="36" t="s">
        <v>26</v>
      </c>
    </row>
    <row r="19" spans="1:1" ht="15.75" x14ac:dyDescent="0.3">
      <c r="A19" s="36" t="s">
        <v>27</v>
      </c>
    </row>
    <row r="20" spans="1:1" ht="15.75" x14ac:dyDescent="0.3">
      <c r="A20" s="36" t="s">
        <v>28</v>
      </c>
    </row>
    <row r="21" spans="1:1" ht="15.75" x14ac:dyDescent="0.3">
      <c r="A21" s="36" t="s">
        <v>29</v>
      </c>
    </row>
    <row r="22" spans="1:1" ht="15.75" x14ac:dyDescent="0.3">
      <c r="A22" s="36" t="s">
        <v>30</v>
      </c>
    </row>
    <row r="23" spans="1:1" ht="15.75" x14ac:dyDescent="0.3">
      <c r="A23" s="36" t="s">
        <v>31</v>
      </c>
    </row>
    <row r="24" spans="1:1" ht="15.75" x14ac:dyDescent="0.3">
      <c r="A24" s="36" t="s">
        <v>32</v>
      </c>
    </row>
    <row r="25" spans="1:1" ht="15.75" x14ac:dyDescent="0.3">
      <c r="A25" s="36" t="s">
        <v>33</v>
      </c>
    </row>
    <row r="26" spans="1:1" ht="15.75" x14ac:dyDescent="0.3">
      <c r="A26" s="36" t="s">
        <v>34</v>
      </c>
    </row>
    <row r="27" spans="1:1" ht="15.75" x14ac:dyDescent="0.3">
      <c r="A27" s="36" t="s">
        <v>35</v>
      </c>
    </row>
    <row r="29" spans="1:1" ht="15.75" x14ac:dyDescent="0.3">
      <c r="A29" s="36" t="s">
        <v>36</v>
      </c>
    </row>
    <row r="30" spans="1:1" ht="15.75" x14ac:dyDescent="0.3">
      <c r="A30" s="36" t="s">
        <v>37</v>
      </c>
    </row>
    <row r="31" spans="1:1" ht="15.75" x14ac:dyDescent="0.3">
      <c r="A31" s="36" t="s">
        <v>38</v>
      </c>
    </row>
    <row r="32" spans="1:1" ht="15.75" x14ac:dyDescent="0.3">
      <c r="A32" s="36" t="s">
        <v>39</v>
      </c>
    </row>
    <row r="33" spans="1:1" ht="15.75" x14ac:dyDescent="0.3">
      <c r="A33" s="36" t="s">
        <v>40</v>
      </c>
    </row>
    <row r="34" spans="1:1" ht="15.75" x14ac:dyDescent="0.3">
      <c r="A34" s="36" t="s">
        <v>41</v>
      </c>
    </row>
    <row r="35" spans="1:1" ht="15.75" x14ac:dyDescent="0.3">
      <c r="A35" s="36"/>
    </row>
    <row r="36" spans="1:1" ht="15.75" x14ac:dyDescent="0.3">
      <c r="A36" s="36" t="s">
        <v>42</v>
      </c>
    </row>
    <row r="37" spans="1:1" ht="15.75" x14ac:dyDescent="0.3">
      <c r="A37" s="36" t="s">
        <v>43</v>
      </c>
    </row>
    <row r="38" spans="1:1" ht="15.75" x14ac:dyDescent="0.3">
      <c r="A38" s="36" t="s">
        <v>44</v>
      </c>
    </row>
    <row r="39" spans="1:1" ht="15.75" x14ac:dyDescent="0.3">
      <c r="A39" s="36" t="s">
        <v>45</v>
      </c>
    </row>
    <row r="40" spans="1:1" ht="15.75" x14ac:dyDescent="0.3">
      <c r="A40" s="38" t="s">
        <v>46</v>
      </c>
    </row>
    <row r="41" spans="1:1" ht="15.75" x14ac:dyDescent="0.3">
      <c r="A41" s="39" t="s">
        <v>47</v>
      </c>
    </row>
    <row r="42" spans="1:1" ht="15.75" x14ac:dyDescent="0.3">
      <c r="A42" s="39" t="s">
        <v>48</v>
      </c>
    </row>
    <row r="45" spans="1:1" ht="15.75" x14ac:dyDescent="0.3">
      <c r="A45" s="36" t="s">
        <v>49</v>
      </c>
    </row>
    <row r="46" spans="1:1" ht="15.75" x14ac:dyDescent="0.3">
      <c r="A46" s="36" t="s">
        <v>50</v>
      </c>
    </row>
    <row r="47" spans="1:1" ht="15.75" x14ac:dyDescent="0.3">
      <c r="A47" s="36" t="s">
        <v>51</v>
      </c>
    </row>
    <row r="48" spans="1:1" ht="15.75" x14ac:dyDescent="0.3">
      <c r="A48" s="36" t="s">
        <v>52</v>
      </c>
    </row>
    <row r="49" spans="1:1" ht="15.75" x14ac:dyDescent="0.3">
      <c r="A49" s="36" t="s">
        <v>53</v>
      </c>
    </row>
    <row r="50" spans="1:1" ht="15.75" x14ac:dyDescent="0.3">
      <c r="A50" s="36" t="s">
        <v>54</v>
      </c>
    </row>
    <row r="51" spans="1:1" ht="15.75" x14ac:dyDescent="0.3">
      <c r="A51" s="36" t="s">
        <v>55</v>
      </c>
    </row>
    <row r="52" spans="1:1" ht="15.75" x14ac:dyDescent="0.3">
      <c r="A52" s="36" t="s">
        <v>56</v>
      </c>
    </row>
    <row r="53" spans="1:1" ht="15.75" x14ac:dyDescent="0.3">
      <c r="A53" s="36" t="s">
        <v>57</v>
      </c>
    </row>
    <row r="54" spans="1:1" ht="15.75" x14ac:dyDescent="0.3">
      <c r="A54" s="36" t="s">
        <v>58</v>
      </c>
    </row>
    <row r="55" spans="1:1" ht="15.75" x14ac:dyDescent="0.3">
      <c r="A55" s="36" t="s">
        <v>59</v>
      </c>
    </row>
    <row r="56" spans="1:1" ht="15.75" x14ac:dyDescent="0.3">
      <c r="A56" s="36" t="s">
        <v>60</v>
      </c>
    </row>
    <row r="57" spans="1:1" ht="15.75" x14ac:dyDescent="0.3">
      <c r="A57" s="36" t="s">
        <v>61</v>
      </c>
    </row>
    <row r="58" spans="1:1" ht="15.75" x14ac:dyDescent="0.3">
      <c r="A58" s="36" t="s">
        <v>62</v>
      </c>
    </row>
    <row r="59" spans="1:1" ht="15.75" x14ac:dyDescent="0.3">
      <c r="A59" s="36" t="s">
        <v>63</v>
      </c>
    </row>
    <row r="60" spans="1:1" ht="15.75" x14ac:dyDescent="0.3">
      <c r="A60" s="36" t="s">
        <v>64</v>
      </c>
    </row>
    <row r="61" spans="1:1" ht="15.75" x14ac:dyDescent="0.3">
      <c r="A61" s="36" t="s">
        <v>65</v>
      </c>
    </row>
    <row r="63" spans="1:1" ht="15.75" x14ac:dyDescent="0.3">
      <c r="A63" s="35" t="s">
        <v>66</v>
      </c>
    </row>
    <row r="64" spans="1:1" ht="15.75" x14ac:dyDescent="0.3">
      <c r="A64" s="36" t="s">
        <v>67</v>
      </c>
    </row>
    <row r="65" spans="1:1" ht="15.75" x14ac:dyDescent="0.3">
      <c r="A65" s="36" t="s">
        <v>68</v>
      </c>
    </row>
    <row r="66" spans="1:1" ht="15.75" x14ac:dyDescent="0.3">
      <c r="A66" s="36" t="s">
        <v>69</v>
      </c>
    </row>
    <row r="67" spans="1:1" ht="15.75" x14ac:dyDescent="0.3">
      <c r="A67" s="36" t="s">
        <v>70</v>
      </c>
    </row>
    <row r="68" spans="1:1" ht="15.75" x14ac:dyDescent="0.3">
      <c r="A68" s="36" t="s">
        <v>71</v>
      </c>
    </row>
    <row r="69" spans="1:1" ht="15.75" x14ac:dyDescent="0.3">
      <c r="A69" s="36" t="s">
        <v>72</v>
      </c>
    </row>
    <row r="70" spans="1:1" ht="15.75" x14ac:dyDescent="0.3">
      <c r="A70" s="36" t="s">
        <v>73</v>
      </c>
    </row>
    <row r="71" spans="1:1" ht="15.75" x14ac:dyDescent="0.3">
      <c r="A71" s="36" t="s">
        <v>74</v>
      </c>
    </row>
    <row r="72" spans="1:1" ht="15.75" x14ac:dyDescent="0.3">
      <c r="A72" s="36" t="s">
        <v>75</v>
      </c>
    </row>
    <row r="73" spans="1:1" ht="15.75" x14ac:dyDescent="0.3">
      <c r="A73" s="36" t="s">
        <v>76</v>
      </c>
    </row>
    <row r="74" spans="1:1" ht="15.75" x14ac:dyDescent="0.3">
      <c r="A74" s="36" t="s">
        <v>77</v>
      </c>
    </row>
    <row r="75" spans="1:1" ht="15.75" x14ac:dyDescent="0.3">
      <c r="A75" s="36" t="s">
        <v>78</v>
      </c>
    </row>
    <row r="76" spans="1:1" ht="15.75" x14ac:dyDescent="0.3">
      <c r="A76" s="36" t="s">
        <v>79</v>
      </c>
    </row>
    <row r="77" spans="1:1" ht="15.75" x14ac:dyDescent="0.3">
      <c r="A77" s="36" t="s">
        <v>80</v>
      </c>
    </row>
    <row r="79" spans="1:1" ht="15.75" x14ac:dyDescent="0.3">
      <c r="A79" s="36" t="s">
        <v>81</v>
      </c>
    </row>
    <row r="80" spans="1:1" ht="15.75" x14ac:dyDescent="0.3">
      <c r="A80" s="36" t="s">
        <v>82</v>
      </c>
    </row>
    <row r="81" spans="1:1" ht="15.75" x14ac:dyDescent="0.3">
      <c r="A81" s="36" t="s">
        <v>83</v>
      </c>
    </row>
    <row r="82" spans="1:1" ht="15.75" x14ac:dyDescent="0.3">
      <c r="A82" s="36" t="s">
        <v>84</v>
      </c>
    </row>
    <row r="83" spans="1:1" ht="15.75" x14ac:dyDescent="0.3">
      <c r="A83" s="36" t="s">
        <v>85</v>
      </c>
    </row>
    <row r="84" spans="1:1" ht="15.75" x14ac:dyDescent="0.3">
      <c r="A84" s="36" t="s">
        <v>86</v>
      </c>
    </row>
    <row r="85" spans="1:1" ht="15.75" x14ac:dyDescent="0.3">
      <c r="A85" s="36" t="s">
        <v>87</v>
      </c>
    </row>
    <row r="87" spans="1:1" ht="15.75" x14ac:dyDescent="0.3">
      <c r="A87" s="35" t="s">
        <v>88</v>
      </c>
    </row>
    <row r="88" spans="1:1" ht="15.75" x14ac:dyDescent="0.3">
      <c r="A88" s="36" t="s">
        <v>89</v>
      </c>
    </row>
    <row r="89" spans="1:1" ht="15.75" x14ac:dyDescent="0.3">
      <c r="A89" s="36" t="s">
        <v>90</v>
      </c>
    </row>
    <row r="90" spans="1:1" ht="15.75" x14ac:dyDescent="0.3">
      <c r="A90" s="36" t="s">
        <v>91</v>
      </c>
    </row>
    <row r="91" spans="1:1" ht="15.75" x14ac:dyDescent="0.3">
      <c r="A91" s="36" t="s">
        <v>92</v>
      </c>
    </row>
    <row r="92" spans="1:1" ht="15.75" x14ac:dyDescent="0.3">
      <c r="A92" s="36" t="s">
        <v>93</v>
      </c>
    </row>
    <row r="93" spans="1:1" ht="15.75" x14ac:dyDescent="0.3">
      <c r="A93" s="36" t="s">
        <v>94</v>
      </c>
    </row>
    <row r="94" spans="1:1" ht="15.75" x14ac:dyDescent="0.3">
      <c r="A94" s="36" t="s">
        <v>95</v>
      </c>
    </row>
    <row r="95" spans="1:1" ht="15.75" x14ac:dyDescent="0.3">
      <c r="A95" s="36" t="s">
        <v>96</v>
      </c>
    </row>
    <row r="97" spans="1:1" ht="15.75" x14ac:dyDescent="0.3">
      <c r="A97" s="36" t="s">
        <v>97</v>
      </c>
    </row>
    <row r="98" spans="1:1" ht="15.75" x14ac:dyDescent="0.3">
      <c r="A98" s="36" t="s">
        <v>98</v>
      </c>
    </row>
    <row r="99" spans="1:1" ht="15.75" x14ac:dyDescent="0.3">
      <c r="A99" s="36" t="s">
        <v>99</v>
      </c>
    </row>
    <row r="100" spans="1:1" ht="15.75" x14ac:dyDescent="0.3">
      <c r="A100" s="36" t="s">
        <v>100</v>
      </c>
    </row>
    <row r="103" spans="1:1" ht="15.75" x14ac:dyDescent="0.3">
      <c r="A103" s="40" t="s">
        <v>101</v>
      </c>
    </row>
    <row r="104" spans="1:1" ht="15.75" x14ac:dyDescent="0.3">
      <c r="A104" s="40" t="s">
        <v>102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N32" sqref="N32"/>
    </sheetView>
  </sheetViews>
  <sheetFormatPr defaultRowHeight="21" x14ac:dyDescent="0.35"/>
  <cols>
    <col min="1" max="1" width="4" style="34" customWidth="1"/>
    <col min="2" max="12" width="10.28515625" customWidth="1"/>
    <col min="13" max="13" width="10.28515625" style="64" customWidth="1"/>
    <col min="14" max="15" width="10.28515625" customWidth="1"/>
  </cols>
  <sheetData>
    <row r="1" spans="2:16" ht="45" x14ac:dyDescent="0.35">
      <c r="B1" s="97" t="s">
        <v>195</v>
      </c>
      <c r="C1" s="97"/>
      <c r="D1" s="97"/>
      <c r="E1" s="97"/>
      <c r="F1" s="97"/>
      <c r="G1" s="97"/>
      <c r="H1" s="97"/>
      <c r="I1" s="97"/>
      <c r="J1" s="97"/>
      <c r="K1" s="97"/>
      <c r="L1" s="63"/>
    </row>
    <row r="2" spans="2:16" ht="21.75" thickBot="1" x14ac:dyDescent="0.4"/>
    <row r="3" spans="2:16" ht="21.75" thickBot="1" x14ac:dyDescent="0.4">
      <c r="B3" s="61"/>
      <c r="C3" s="98" t="s">
        <v>0</v>
      </c>
      <c r="D3" s="99"/>
      <c r="E3" s="100"/>
      <c r="F3" s="2">
        <v>1</v>
      </c>
      <c r="G3" s="2">
        <v>2</v>
      </c>
      <c r="H3" s="3">
        <v>3</v>
      </c>
      <c r="I3" s="3">
        <v>4</v>
      </c>
      <c r="J3" s="61" t="s">
        <v>1</v>
      </c>
      <c r="K3" s="2" t="s">
        <v>2</v>
      </c>
      <c r="L3" s="32" t="s">
        <v>3</v>
      </c>
    </row>
    <row r="4" spans="2:16" x14ac:dyDescent="0.35">
      <c r="B4" s="101">
        <v>1</v>
      </c>
      <c r="C4" s="102" t="s">
        <v>196</v>
      </c>
      <c r="D4" s="103"/>
      <c r="E4" s="104"/>
      <c r="F4" s="8" t="s">
        <v>4</v>
      </c>
      <c r="G4" s="9" t="str">
        <f ca="1">INDIRECT(ADDRESS(21,6))&amp;":"&amp;INDIRECT(ADDRESS(21,7))</f>
        <v>3:13</v>
      </c>
      <c r="H4" s="9" t="str">
        <f ca="1">INDIRECT(ADDRESS(25,7))&amp;":"&amp;INDIRECT(ADDRESS(25,6))</f>
        <v>12:13</v>
      </c>
      <c r="I4" s="10" t="str">
        <f ca="1">INDIRECT(ADDRESS(16,6))&amp;":"&amp;INDIRECT(ADDRESS(16,7))</f>
        <v>13:11</v>
      </c>
      <c r="J4" s="123">
        <f ca="1">IF(COUNT(F5:I5)=0,"",COUNTIF(F5:I5,"&gt;0")+0.5*COUNTIF(F5:I5,0)+IFERROR(0.5-SIGN(F7)/2,0)+IFERROR(0.5-SIGN(F9)/2,0)+IFERROR(0.5-SIGN(F11)/2,0))</f>
        <v>3</v>
      </c>
      <c r="K4" s="11"/>
      <c r="L4" s="122">
        <v>3</v>
      </c>
    </row>
    <row r="5" spans="2:16" x14ac:dyDescent="0.35">
      <c r="B5" s="91"/>
      <c r="C5" s="81"/>
      <c r="D5" s="82"/>
      <c r="E5" s="83"/>
      <c r="F5" s="12" t="s">
        <v>4</v>
      </c>
      <c r="G5" s="13">
        <f ca="1">IF(LEN(INDIRECT(ADDRESS(ROW()-1, COLUMN())))=1,"",INDIRECT(ADDRESS(21,6))-INDIRECT(ADDRESS(21,7)))</f>
        <v>-10</v>
      </c>
      <c r="H5" s="13">
        <f ca="1">IF(LEN(INDIRECT(ADDRESS(ROW()-1, COLUMN())))=1,"",INDIRECT(ADDRESS(25,7))-INDIRECT(ADDRESS(25,6)))</f>
        <v>-1</v>
      </c>
      <c r="I5" s="14">
        <f ca="1">IF(LEN(INDIRECT(ADDRESS(ROW()-1, COLUMN())))=1,"",INDIRECT(ADDRESS(16,6))-INDIRECT(ADDRESS(16,7)))</f>
        <v>2</v>
      </c>
      <c r="J5" s="112"/>
      <c r="K5" s="13">
        <f ca="1">IF(COUNT(F5:I5)=0,"",SUM(F5:I5)-IF(F7="",0,F7)-IF(F9="",0,F9)-IF(F11="",0,F11))</f>
        <v>-3</v>
      </c>
      <c r="L5" s="120"/>
    </row>
    <row r="6" spans="2:16" x14ac:dyDescent="0.35">
      <c r="B6" s="79">
        <v>2</v>
      </c>
      <c r="C6" s="93" t="s">
        <v>197</v>
      </c>
      <c r="D6" s="94"/>
      <c r="E6" s="95"/>
      <c r="F6" s="15" t="str">
        <f ca="1">INDIRECT(ADDRESS(33,6))&amp;":"&amp;INDIRECT(ADDRESS(33,7))</f>
        <v>8:12</v>
      </c>
      <c r="G6" s="16" t="s">
        <v>4</v>
      </c>
      <c r="H6" s="17" t="str">
        <f ca="1">INDIRECT(ADDRESS(17,6))&amp;":"&amp;INDIRECT(ADDRESS(17,7))</f>
        <v>8:13</v>
      </c>
      <c r="I6" s="18" t="str">
        <f ca="1">INDIRECT(ADDRESS(24,6))&amp;":"&amp;INDIRECT(ADDRESS(24,7))</f>
        <v>13:10</v>
      </c>
      <c r="J6" s="112">
        <f ca="1">IF(COUNT(F7:I7)=0,"",COUNTIF(F7:I7,"&gt;0")+0.5*COUNTIF(F7:I7,0)+IFERROR(0.5-SIGN(G5)/2,0)+IFERROR(0.5-SIGN(G9)/2,0)+IFERROR(0.5-SIGN(G11)/2,0))</f>
        <v>4</v>
      </c>
      <c r="K6" s="13"/>
      <c r="L6" s="120">
        <v>1</v>
      </c>
    </row>
    <row r="7" spans="2:16" x14ac:dyDescent="0.35">
      <c r="B7" s="91"/>
      <c r="C7" s="93"/>
      <c r="D7" s="94"/>
      <c r="E7" s="95"/>
      <c r="F7" s="19">
        <f ca="1">IF(LEN(INDIRECT(ADDRESS(ROW()-1, COLUMN())))=1,"",INDIRECT(ADDRESS(33,6))-INDIRECT(ADDRESS(33,7)))</f>
        <v>-4</v>
      </c>
      <c r="G7" s="20" t="s">
        <v>4</v>
      </c>
      <c r="H7" s="13">
        <f ca="1">IF(LEN(INDIRECT(ADDRESS(ROW()-1, COLUMN())))=1,"",INDIRECT(ADDRESS(17,6))-INDIRECT(ADDRESS(17,7)))</f>
        <v>-5</v>
      </c>
      <c r="I7" s="14">
        <f ca="1">IF(LEN(INDIRECT(ADDRESS(ROW()-1, COLUMN())))=1,"",INDIRECT(ADDRESS(24,6))-INDIRECT(ADDRESS(24,7)))</f>
        <v>3</v>
      </c>
      <c r="J7" s="112"/>
      <c r="K7" s="13">
        <f ca="1">IF(COUNT(F7:I7)=0,"",SUM(F7:I7)-IF(G5="",0,G5)-IF(G9="",0,G9)-IF(G11="",0,G11))</f>
        <v>18</v>
      </c>
      <c r="L7" s="120"/>
    </row>
    <row r="8" spans="2:16" x14ac:dyDescent="0.35">
      <c r="B8" s="79">
        <v>3</v>
      </c>
      <c r="C8" s="93" t="s">
        <v>198</v>
      </c>
      <c r="D8" s="94"/>
      <c r="E8" s="95"/>
      <c r="F8" s="15" t="str">
        <f ca="1">INDIRECT(ADDRESS(37,7))&amp;":"&amp;INDIRECT(ADDRESS(37,6))</f>
        <v>13:10</v>
      </c>
      <c r="G8" s="17" t="str">
        <f ca="1">INDIRECT(ADDRESS(29,6))&amp;":"&amp;INDIRECT(ADDRESS(29,7))</f>
        <v>7:13</v>
      </c>
      <c r="H8" s="16" t="s">
        <v>4</v>
      </c>
      <c r="I8" s="18" t="str">
        <f ca="1">INDIRECT(ADDRESS(20,7))&amp;":"&amp;INDIRECT(ADDRESS(20,6))</f>
        <v>12:13</v>
      </c>
      <c r="J8" s="112">
        <f ca="1">IF(COUNT(F9:I9)=0,"",COUNTIF(F9:I9,"&gt;0")+0.5*COUNTIF(F9:I9,0)+IFERROR(0.5-SIGN(H5)/2,0)+IFERROR(0.5-SIGN(H7)/2,0)+IFERROR(0.5-SIGN(H11)/2,0))</f>
        <v>3</v>
      </c>
      <c r="K8" s="13"/>
      <c r="L8" s="120">
        <v>2</v>
      </c>
    </row>
    <row r="9" spans="2:16" x14ac:dyDescent="0.35">
      <c r="B9" s="91"/>
      <c r="C9" s="93"/>
      <c r="D9" s="94"/>
      <c r="E9" s="95"/>
      <c r="F9" s="19">
        <f ca="1">IF(LEN(INDIRECT(ADDRESS(ROW()-1, COLUMN())))=1,"",INDIRECT(ADDRESS(37,7))-INDIRECT(ADDRESS(37,6)))</f>
        <v>3</v>
      </c>
      <c r="G9" s="13">
        <f ca="1">IF(LEN(INDIRECT(ADDRESS(ROW()-1, COLUMN())))=1,"",INDIRECT(ADDRESS(29,6))-INDIRECT(ADDRESS(29,7)))</f>
        <v>-6</v>
      </c>
      <c r="H9" s="20" t="s">
        <v>4</v>
      </c>
      <c r="I9" s="14">
        <f ca="1">IF(LEN(INDIRECT(ADDRESS(ROW()-1, COLUMN())))=1,"",INDIRECT(ADDRESS(20,7))-INDIRECT(ADDRESS(20,6)))</f>
        <v>-1</v>
      </c>
      <c r="J9" s="112"/>
      <c r="K9" s="13">
        <f ca="1">IF(COUNT(F9:I9)=0,"",SUM(F9:I9)-IF(H5="",0,H5)-IF(H7="",0,H7)-IF(H11="",0,H11))</f>
        <v>-6</v>
      </c>
      <c r="L9" s="120"/>
    </row>
    <row r="10" spans="2:16" x14ac:dyDescent="0.35">
      <c r="B10" s="79">
        <v>4</v>
      </c>
      <c r="C10" s="81" t="s">
        <v>199</v>
      </c>
      <c r="D10" s="82"/>
      <c r="E10" s="83"/>
      <c r="F10" s="15" t="str">
        <f ca="1">INDIRECT(ADDRESS(28,6))&amp;":"&amp;INDIRECT(ADDRESS(28,7))</f>
        <v>8:13</v>
      </c>
      <c r="G10" s="17" t="str">
        <f ca="1">INDIRECT(ADDRESS(36,6))&amp;":"&amp;INDIRECT(ADDRESS(36,7))</f>
        <v>5:13</v>
      </c>
      <c r="H10" s="17" t="str">
        <f ca="1">INDIRECT(ADDRESS(32,7))&amp;":"&amp;INDIRECT(ADDRESS(32,6))</f>
        <v>13:5</v>
      </c>
      <c r="I10" s="21" t="s">
        <v>4</v>
      </c>
      <c r="J10" s="112">
        <f ca="1">IF(COUNT(F11:I11)=0,"",COUNTIF(F11:I11,"&gt;0")+0.5*COUNTIF(F11:I11,0)+IFERROR(0.5-SIGN(I5)/2,0)+IFERROR(0.5-SIGN(I7)/2,0)+IFERROR(0.5-SIGN(I9)/2,0))</f>
        <v>2</v>
      </c>
      <c r="K10" s="13"/>
      <c r="L10" s="120">
        <v>4</v>
      </c>
    </row>
    <row r="11" spans="2:16" ht="21.75" thickBot="1" x14ac:dyDescent="0.4">
      <c r="B11" s="80"/>
      <c r="C11" s="84"/>
      <c r="D11" s="85"/>
      <c r="E11" s="86"/>
      <c r="F11" s="22">
        <f ca="1">IF(LEN(INDIRECT(ADDRESS(ROW()-1, COLUMN())))=1,"",INDIRECT(ADDRESS(28,6))-INDIRECT(ADDRESS(28,7)))</f>
        <v>-5</v>
      </c>
      <c r="G11" s="23">
        <f ca="1">IF(LEN(INDIRECT(ADDRESS(ROW()-1, COLUMN())))=1,"",INDIRECT(ADDRESS(36,6))-INDIRECT(ADDRESS(36,7)))</f>
        <v>-8</v>
      </c>
      <c r="H11" s="23">
        <f ca="1">IF(LEN(INDIRECT(ADDRESS(ROW()-1, COLUMN())))=1,"",INDIRECT(ADDRESS(32,7))-INDIRECT(ADDRESS(32,6)))</f>
        <v>8</v>
      </c>
      <c r="I11" s="24" t="s">
        <v>4</v>
      </c>
      <c r="J11" s="117"/>
      <c r="K11" s="23">
        <f ca="1">IF(COUNT(F11:I11)=0,"",SUM(F11:I11)-IF(I5="",0,I5)-IF(I7="",0,I7)-IF(I9="",0,I9))</f>
        <v>-9</v>
      </c>
      <c r="L11" s="121"/>
    </row>
    <row r="12" spans="2:16" x14ac:dyDescent="0.35">
      <c r="O12" s="68" t="s">
        <v>207</v>
      </c>
    </row>
    <row r="13" spans="2:16" ht="23.25" x14ac:dyDescent="0.35">
      <c r="M13" s="65" t="s">
        <v>204</v>
      </c>
      <c r="O13" s="67" t="s">
        <v>206</v>
      </c>
      <c r="P13" s="66" t="s">
        <v>205</v>
      </c>
    </row>
    <row r="15" spans="2:16" ht="21.75" thickBot="1" x14ac:dyDescent="0.4">
      <c r="B15" s="78" t="s">
        <v>5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2:16" ht="21.75" thickBot="1" x14ac:dyDescent="0.4">
      <c r="B16" s="6">
        <v>1</v>
      </c>
      <c r="C16" s="75" t="str">
        <f ca="1">IF(ISBLANK(INDIRECT(ADDRESS(B16*2+2,3))),"",INDIRECT(ADDRESS(B16*2+2,3)))</f>
        <v>Жилин Дмитрий</v>
      </c>
      <c r="D16" s="75"/>
      <c r="E16" s="76"/>
      <c r="F16" s="26">
        <v>13</v>
      </c>
      <c r="G16" s="27">
        <v>11</v>
      </c>
      <c r="H16" s="77" t="str">
        <f ca="1">IF(ISBLANK(INDIRECT(ADDRESS(K16*2+2,3))),"",INDIRECT(ADDRESS(K16*2+2,3)))</f>
        <v>Капран Сергей</v>
      </c>
      <c r="I16" s="75"/>
      <c r="J16" s="75"/>
      <c r="K16" s="6">
        <v>4</v>
      </c>
      <c r="L16" s="28" t="s">
        <v>6</v>
      </c>
    </row>
    <row r="17" spans="2:12" ht="21.75" thickBot="1" x14ac:dyDescent="0.4">
      <c r="B17" s="6">
        <v>2</v>
      </c>
      <c r="C17" s="75" t="str">
        <f ca="1">IF(ISBLANK(INDIRECT(ADDRESS(B17*2+2,3))),"",INDIRECT(ADDRESS(B17*2+2,3)))</f>
        <v>Рядовиков Алексей</v>
      </c>
      <c r="D17" s="75"/>
      <c r="E17" s="76"/>
      <c r="F17" s="26">
        <v>8</v>
      </c>
      <c r="G17" s="27">
        <v>13</v>
      </c>
      <c r="H17" s="77" t="str">
        <f ca="1">IF(ISBLANK(INDIRECT(ADDRESS(K17*2+2,3))),"",INDIRECT(ADDRESS(K17*2+2,3)))</f>
        <v>Банщиков Андрей</v>
      </c>
      <c r="I17" s="75"/>
      <c r="J17" s="75"/>
      <c r="K17" s="6">
        <v>3</v>
      </c>
      <c r="L17" s="28" t="s">
        <v>6</v>
      </c>
    </row>
    <row r="19" spans="2:12" ht="21.75" thickBot="1" x14ac:dyDescent="0.4">
      <c r="B19" s="78" t="s">
        <v>7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12" ht="21.75" thickBot="1" x14ac:dyDescent="0.4">
      <c r="B20" s="6">
        <v>4</v>
      </c>
      <c r="C20" s="75" t="str">
        <f ca="1">IF(ISBLANK(INDIRECT(ADDRESS(B20*2+2,3))),"",INDIRECT(ADDRESS(B20*2+2,3)))</f>
        <v>Капран Сергей</v>
      </c>
      <c r="D20" s="75"/>
      <c r="E20" s="76"/>
      <c r="F20" s="26">
        <v>13</v>
      </c>
      <c r="G20" s="27">
        <v>12</v>
      </c>
      <c r="H20" s="77" t="str">
        <f ca="1">IF(ISBLANK(INDIRECT(ADDRESS(K20*2+2,3))),"",INDIRECT(ADDRESS(K20*2+2,3)))</f>
        <v>Банщиков Андрей</v>
      </c>
      <c r="I20" s="75"/>
      <c r="J20" s="75"/>
      <c r="K20" s="6">
        <v>3</v>
      </c>
      <c r="L20" s="28" t="s">
        <v>6</v>
      </c>
    </row>
    <row r="21" spans="2:12" ht="21.75" thickBot="1" x14ac:dyDescent="0.4">
      <c r="B21" s="6">
        <v>1</v>
      </c>
      <c r="C21" s="75" t="str">
        <f ca="1">IF(ISBLANK(INDIRECT(ADDRESS(B21*2+2,3))),"",INDIRECT(ADDRESS(B21*2+2,3)))</f>
        <v>Жилин Дмитрий</v>
      </c>
      <c r="D21" s="75"/>
      <c r="E21" s="76"/>
      <c r="F21" s="26">
        <v>3</v>
      </c>
      <c r="G21" s="27">
        <v>13</v>
      </c>
      <c r="H21" s="77" t="str">
        <f ca="1">IF(ISBLANK(INDIRECT(ADDRESS(K21*2+2,3))),"",INDIRECT(ADDRESS(K21*2+2,3)))</f>
        <v>Рядовиков Алексей</v>
      </c>
      <c r="I21" s="75"/>
      <c r="J21" s="75"/>
      <c r="K21" s="6">
        <v>2</v>
      </c>
      <c r="L21" s="28" t="s">
        <v>6</v>
      </c>
    </row>
    <row r="23" spans="2:12" ht="21.75" thickBot="1" x14ac:dyDescent="0.4">
      <c r="B23" s="78" t="s">
        <v>8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2:12" ht="21.75" thickBot="1" x14ac:dyDescent="0.4">
      <c r="B24" s="6">
        <v>2</v>
      </c>
      <c r="C24" s="75" t="str">
        <f ca="1">IF(ISBLANK(INDIRECT(ADDRESS(B24*2+2,3))),"",INDIRECT(ADDRESS(B24*2+2,3)))</f>
        <v>Рядовиков Алексей</v>
      </c>
      <c r="D24" s="75"/>
      <c r="E24" s="76"/>
      <c r="F24" s="26">
        <v>13</v>
      </c>
      <c r="G24" s="27">
        <v>10</v>
      </c>
      <c r="H24" s="77" t="str">
        <f ca="1">IF(ISBLANK(INDIRECT(ADDRESS(K24*2+2,3))),"",INDIRECT(ADDRESS(K24*2+2,3)))</f>
        <v>Капран Сергей</v>
      </c>
      <c r="I24" s="75"/>
      <c r="J24" s="75"/>
      <c r="K24" s="6">
        <v>4</v>
      </c>
      <c r="L24" s="28" t="s">
        <v>6</v>
      </c>
    </row>
    <row r="25" spans="2:12" ht="21.75" thickBot="1" x14ac:dyDescent="0.4">
      <c r="B25" s="6">
        <v>3</v>
      </c>
      <c r="C25" s="75" t="str">
        <f ca="1">IF(ISBLANK(INDIRECT(ADDRESS(B25*2+2,3))),"",INDIRECT(ADDRESS(B25*2+2,3)))</f>
        <v>Банщиков Андрей</v>
      </c>
      <c r="D25" s="75"/>
      <c r="E25" s="76"/>
      <c r="F25" s="26">
        <v>13</v>
      </c>
      <c r="G25" s="27">
        <v>12</v>
      </c>
      <c r="H25" s="77" t="str">
        <f ca="1">IF(ISBLANK(INDIRECT(ADDRESS(K25*2+2,3))),"",INDIRECT(ADDRESS(K25*2+2,3)))</f>
        <v>Жилин Дмитрий</v>
      </c>
      <c r="I25" s="75"/>
      <c r="J25" s="75"/>
      <c r="K25" s="6">
        <v>1</v>
      </c>
      <c r="L25" s="28" t="s">
        <v>6</v>
      </c>
    </row>
    <row r="27" spans="2:12" ht="21.75" thickBot="1" x14ac:dyDescent="0.4">
      <c r="B27" s="78" t="s">
        <v>9</v>
      </c>
      <c r="C27" s="78"/>
      <c r="D27" s="78"/>
      <c r="E27" s="78"/>
      <c r="F27" s="78"/>
      <c r="G27" s="78"/>
      <c r="H27" s="78"/>
      <c r="I27" s="78"/>
      <c r="J27" s="78"/>
      <c r="K27" s="78"/>
    </row>
    <row r="28" spans="2:12" ht="21.75" thickBot="1" x14ac:dyDescent="0.4">
      <c r="B28" s="6">
        <v>4</v>
      </c>
      <c r="C28" s="75" t="str">
        <f ca="1">IF(ISBLANK(INDIRECT(ADDRESS(B28*2+2,3))),"",INDIRECT(ADDRESS(B28*2+2,3)))</f>
        <v>Капран Сергей</v>
      </c>
      <c r="D28" s="75"/>
      <c r="E28" s="76"/>
      <c r="F28" s="26">
        <v>8</v>
      </c>
      <c r="G28" s="27">
        <v>13</v>
      </c>
      <c r="H28" s="77" t="str">
        <f ca="1">IF(ISBLANK(INDIRECT(ADDRESS(K28*2+2,3))),"",INDIRECT(ADDRESS(K28*2+2,3)))</f>
        <v>Жилин Дмитрий</v>
      </c>
      <c r="I28" s="75"/>
      <c r="J28" s="75"/>
      <c r="K28" s="6">
        <v>1</v>
      </c>
      <c r="L28" s="28" t="s">
        <v>6</v>
      </c>
    </row>
    <row r="29" spans="2:12" ht="21.75" thickBot="1" x14ac:dyDescent="0.4">
      <c r="B29" s="6">
        <v>3</v>
      </c>
      <c r="C29" s="75" t="str">
        <f ca="1">IF(ISBLANK(INDIRECT(ADDRESS(B29*2+2,3))),"",INDIRECT(ADDRESS(B29*2+2,3)))</f>
        <v>Банщиков Андрей</v>
      </c>
      <c r="D29" s="75"/>
      <c r="E29" s="76"/>
      <c r="F29" s="26">
        <v>7</v>
      </c>
      <c r="G29" s="27">
        <v>13</v>
      </c>
      <c r="H29" s="77" t="str">
        <f ca="1">IF(ISBLANK(INDIRECT(ADDRESS(K29*2+2,3))),"",INDIRECT(ADDRESS(K29*2+2,3)))</f>
        <v>Рядовиков Алексей</v>
      </c>
      <c r="I29" s="75"/>
      <c r="J29" s="75"/>
      <c r="K29" s="6">
        <v>2</v>
      </c>
      <c r="L29" s="28" t="s">
        <v>6</v>
      </c>
    </row>
    <row r="31" spans="2:12" ht="21.75" thickBot="1" x14ac:dyDescent="0.4">
      <c r="B31" s="78" t="s">
        <v>10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2:12" ht="21.75" thickBot="1" x14ac:dyDescent="0.4">
      <c r="B32" s="6">
        <v>3</v>
      </c>
      <c r="C32" s="75" t="str">
        <f ca="1">IF(ISBLANK(INDIRECT(ADDRESS(B32*2+2,3))),"",INDIRECT(ADDRESS(B32*2+2,3)))</f>
        <v>Банщиков Андрей</v>
      </c>
      <c r="D32" s="75"/>
      <c r="E32" s="76"/>
      <c r="F32" s="26">
        <v>5</v>
      </c>
      <c r="G32" s="27">
        <v>13</v>
      </c>
      <c r="H32" s="77" t="str">
        <f ca="1">IF(ISBLANK(INDIRECT(ADDRESS(K32*2+2,3))),"",INDIRECT(ADDRESS(K32*2+2,3)))</f>
        <v>Капран Сергей</v>
      </c>
      <c r="I32" s="75"/>
      <c r="J32" s="75"/>
      <c r="K32" s="6">
        <v>4</v>
      </c>
      <c r="L32" s="28" t="s">
        <v>6</v>
      </c>
    </row>
    <row r="33" spans="2:12" ht="21.75" thickBot="1" x14ac:dyDescent="0.4">
      <c r="B33" s="6">
        <v>2</v>
      </c>
      <c r="C33" s="75" t="str">
        <f ca="1">IF(ISBLANK(INDIRECT(ADDRESS(B33*2+2,3))),"",INDIRECT(ADDRESS(B33*2+2,3)))</f>
        <v>Рядовиков Алексей</v>
      </c>
      <c r="D33" s="75"/>
      <c r="E33" s="76"/>
      <c r="F33" s="26">
        <v>8</v>
      </c>
      <c r="G33" s="27">
        <v>12</v>
      </c>
      <c r="H33" s="77" t="str">
        <f ca="1">IF(ISBLANK(INDIRECT(ADDRESS(K33*2+2,3))),"",INDIRECT(ADDRESS(K33*2+2,3)))</f>
        <v>Жилин Дмитрий</v>
      </c>
      <c r="I33" s="75"/>
      <c r="J33" s="75"/>
      <c r="K33" s="6">
        <v>1</v>
      </c>
      <c r="L33" s="28" t="s">
        <v>6</v>
      </c>
    </row>
    <row r="35" spans="2:12" ht="21.75" thickBot="1" x14ac:dyDescent="0.4">
      <c r="B35" s="78" t="s">
        <v>107</v>
      </c>
      <c r="C35" s="78"/>
      <c r="D35" s="78"/>
      <c r="E35" s="78"/>
      <c r="F35" s="78"/>
      <c r="G35" s="78"/>
      <c r="H35" s="78"/>
      <c r="I35" s="78"/>
      <c r="J35" s="78"/>
      <c r="K35" s="78"/>
    </row>
    <row r="36" spans="2:12" ht="21.75" thickBot="1" x14ac:dyDescent="0.4">
      <c r="B36" s="6">
        <v>4</v>
      </c>
      <c r="C36" s="75" t="str">
        <f ca="1">IF(ISBLANK(INDIRECT(ADDRESS(B36*2+2,3))),"",INDIRECT(ADDRESS(B36*2+2,3)))</f>
        <v>Капран Сергей</v>
      </c>
      <c r="D36" s="75"/>
      <c r="E36" s="76"/>
      <c r="F36" s="26">
        <v>5</v>
      </c>
      <c r="G36" s="27">
        <v>13</v>
      </c>
      <c r="H36" s="77" t="str">
        <f ca="1">IF(ISBLANK(INDIRECT(ADDRESS(K36*2+2,3))),"",INDIRECT(ADDRESS(K36*2+2,3)))</f>
        <v>Рядовиков Алексей</v>
      </c>
      <c r="I36" s="75"/>
      <c r="J36" s="75"/>
      <c r="K36" s="6">
        <v>2</v>
      </c>
      <c r="L36" s="28" t="s">
        <v>6</v>
      </c>
    </row>
    <row r="37" spans="2:12" ht="21.75" thickBot="1" x14ac:dyDescent="0.4">
      <c r="B37" s="6">
        <v>1</v>
      </c>
      <c r="C37" s="75" t="str">
        <f ca="1">IF(ISBLANK(INDIRECT(ADDRESS(B37*2+2,3))),"",INDIRECT(ADDRESS(B37*2+2,3)))</f>
        <v>Жилин Дмитрий</v>
      </c>
      <c r="D37" s="75"/>
      <c r="E37" s="76"/>
      <c r="F37" s="26">
        <v>10</v>
      </c>
      <c r="G37" s="27">
        <v>13</v>
      </c>
      <c r="H37" s="77" t="str">
        <f ca="1">IF(ISBLANK(INDIRECT(ADDRESS(K37*2+2,3))),"",INDIRECT(ADDRESS(K37*2+2,3)))</f>
        <v>Банщиков Андрей</v>
      </c>
      <c r="I37" s="75"/>
      <c r="J37" s="75"/>
      <c r="K37" s="6">
        <v>3</v>
      </c>
      <c r="L37" s="28" t="s">
        <v>6</v>
      </c>
    </row>
  </sheetData>
  <mergeCells count="48">
    <mergeCell ref="L4:L5"/>
    <mergeCell ref="B1:K1"/>
    <mergeCell ref="C3:E3"/>
    <mergeCell ref="B4:B5"/>
    <mergeCell ref="C4:E5"/>
    <mergeCell ref="J4:J5"/>
    <mergeCell ref="L6:L7"/>
    <mergeCell ref="B8:B9"/>
    <mergeCell ref="C8:E9"/>
    <mergeCell ref="J8:J9"/>
    <mergeCell ref="L8:L9"/>
    <mergeCell ref="H16:J16"/>
    <mergeCell ref="B6:B7"/>
    <mergeCell ref="C6:E7"/>
    <mergeCell ref="J6:J7"/>
    <mergeCell ref="B10:B11"/>
    <mergeCell ref="C10:E11"/>
    <mergeCell ref="J10:J11"/>
    <mergeCell ref="L10:L11"/>
    <mergeCell ref="B15:K15"/>
    <mergeCell ref="B27:K27"/>
    <mergeCell ref="C17:E17"/>
    <mergeCell ref="H17:J17"/>
    <mergeCell ref="B19:K19"/>
    <mergeCell ref="C20:E20"/>
    <mergeCell ref="H20:J20"/>
    <mergeCell ref="C21:E21"/>
    <mergeCell ref="H21:J21"/>
    <mergeCell ref="B23:K23"/>
    <mergeCell ref="C24:E24"/>
    <mergeCell ref="H24:J24"/>
    <mergeCell ref="C25:E25"/>
    <mergeCell ref="H25:J25"/>
    <mergeCell ref="C16:E16"/>
    <mergeCell ref="C37:E37"/>
    <mergeCell ref="H37:J37"/>
    <mergeCell ref="C28:E28"/>
    <mergeCell ref="H28:J28"/>
    <mergeCell ref="C29:E29"/>
    <mergeCell ref="H29:J29"/>
    <mergeCell ref="B31:K31"/>
    <mergeCell ref="C32:E32"/>
    <mergeCell ref="H32:J32"/>
    <mergeCell ref="C33:E33"/>
    <mergeCell ref="H33:J33"/>
    <mergeCell ref="B35:K35"/>
    <mergeCell ref="C36:E36"/>
    <mergeCell ref="H36:J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25">
      <c r="B1" s="97" t="s">
        <v>104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4" ht="15.75" thickBot="1" x14ac:dyDescent="0.3">
      <c r="M2"/>
    </row>
    <row r="3" spans="1:14" ht="30" customHeight="1" thickBot="1" x14ac:dyDescent="0.3">
      <c r="B3" s="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2" t="s">
        <v>165</v>
      </c>
      <c r="D4" s="103"/>
      <c r="E4" s="104"/>
      <c r="F4" s="8" t="s">
        <v>4</v>
      </c>
      <c r="G4" s="9" t="str">
        <f ca="1">INDIRECT(ADDRESS(27,6))&amp;":"&amp;INDIRECT(ADDRESS(27,7))</f>
        <v>13:4</v>
      </c>
      <c r="H4" s="9" t="str">
        <f ca="1">INDIRECT(ADDRESS(31,7))&amp;":"&amp;INDIRECT(ADDRESS(31,6))</f>
        <v>7:13</v>
      </c>
      <c r="I4" s="9" t="str">
        <f ca="1">INDIRECT(ADDRESS(36,6))&amp;":"&amp;INDIRECT(ADDRESS(36,7))</f>
        <v>12:13</v>
      </c>
      <c r="J4" s="9" t="str">
        <f ca="1">INDIRECT(ADDRESS(42,7))&amp;":"&amp;INDIRECT(ADDRESS(42,6))</f>
        <v>13:12</v>
      </c>
      <c r="K4" s="10" t="str">
        <f ca="1">INDIRECT(ADDRESS(20,6))&amp;":"&amp;INDIRECT(ADDRESS(20,7))</f>
        <v>9:13</v>
      </c>
      <c r="L4" s="105">
        <f ca="1">IF(COUNT(F5:K5)=0,"",COUNTIF(F5:K5,"&gt;0")+0.5*COUNTIF(F5:K5,0))</f>
        <v>2</v>
      </c>
      <c r="M4" s="11">
        <v>-5</v>
      </c>
      <c r="N4" s="96">
        <v>6</v>
      </c>
    </row>
    <row r="5" spans="1:14" ht="24" customHeight="1" x14ac:dyDescent="0.25">
      <c r="A5" s="6"/>
      <c r="B5" s="91"/>
      <c r="C5" s="81"/>
      <c r="D5" s="82"/>
      <c r="E5" s="83"/>
      <c r="F5" s="12" t="s">
        <v>4</v>
      </c>
      <c r="G5" s="13">
        <f ca="1">IF(LEN(INDIRECT(ADDRESS(ROW()-1, COLUMN())))=1,"",INDIRECT(ADDRESS(27,6))-INDIRECT(ADDRESS(27,7)))</f>
        <v>9</v>
      </c>
      <c r="H5" s="13">
        <f ca="1">IF(LEN(INDIRECT(ADDRESS(ROW()-1, COLUMN())))=1,"",INDIRECT(ADDRESS(31,7))-INDIRECT(ADDRESS(31,6)))</f>
        <v>-6</v>
      </c>
      <c r="I5" s="13">
        <f ca="1">IF(LEN(INDIRECT(ADDRESS(ROW()-1, COLUMN())))=1,"",INDIRECT(ADDRESS(36,6))-INDIRECT(ADDRESS(36,7)))</f>
        <v>-1</v>
      </c>
      <c r="J5" s="13">
        <f ca="1">IF(LEN(INDIRECT(ADDRESS(ROW()-1, COLUMN())))=1,"",INDIRECT(ADDRESS(42,7))-INDIRECT(ADDRESS(42,6)))</f>
        <v>1</v>
      </c>
      <c r="K5" s="14">
        <f ca="1">IF(LEN(INDIRECT(ADDRESS(ROW()-1, COLUMN())))=1,"",INDIRECT(ADDRESS(20,6))-INDIRECT(ADDRESS(20,7)))</f>
        <v>-4</v>
      </c>
      <c r="L5" s="87"/>
      <c r="M5" s="13">
        <f ca="1">IF(COUNT(F5:K5)=0,"",SUM(F5:K5))</f>
        <v>-1</v>
      </c>
      <c r="N5" s="92"/>
    </row>
    <row r="6" spans="1:14" ht="24" customHeight="1" x14ac:dyDescent="0.25">
      <c r="A6" s="6"/>
      <c r="B6" s="79">
        <v>2</v>
      </c>
      <c r="C6" s="93" t="s">
        <v>166</v>
      </c>
      <c r="D6" s="94"/>
      <c r="E6" s="95"/>
      <c r="F6" s="15" t="str">
        <f ca="1">INDIRECT(ADDRESS(27,7))&amp;":"&amp;INDIRECT(ADDRESS(27,6))</f>
        <v>4:13</v>
      </c>
      <c r="G6" s="16" t="s">
        <v>4</v>
      </c>
      <c r="H6" s="17" t="str">
        <f ca="1">INDIRECT(ADDRESS(37,6))&amp;":"&amp;INDIRECT(ADDRESS(37,7))</f>
        <v>13:2</v>
      </c>
      <c r="I6" s="17" t="str">
        <f ca="1">INDIRECT(ADDRESS(41,7))&amp;":"&amp;INDIRECT(ADDRESS(41,6))</f>
        <v>7:13</v>
      </c>
      <c r="J6" s="17" t="str">
        <f ca="1">INDIRECT(ADDRESS(21,6))&amp;":"&amp;INDIRECT(ADDRESS(21,7))</f>
        <v>13:11</v>
      </c>
      <c r="K6" s="18" t="str">
        <f ca="1">INDIRECT(ADDRESS(30,6))&amp;":"&amp;INDIRECT(ADDRESS(30,7))</f>
        <v>13:11</v>
      </c>
      <c r="L6" s="87">
        <f ca="1">IF(COUNT(F7:K7)=0,"",COUNTIF(F7:K7,"&gt;0")+0.5*COUNTIF(F7:K7,0))</f>
        <v>3</v>
      </c>
      <c r="M6" s="13">
        <v>-4</v>
      </c>
      <c r="N6" s="89">
        <v>2</v>
      </c>
    </row>
    <row r="7" spans="1:14" ht="24" customHeight="1" x14ac:dyDescent="0.25">
      <c r="A7" s="6"/>
      <c r="B7" s="91"/>
      <c r="C7" s="93"/>
      <c r="D7" s="94"/>
      <c r="E7" s="95"/>
      <c r="F7" s="19">
        <f ca="1">IF(LEN(INDIRECT(ADDRESS(ROW()-1, COLUMN())))=1,"",INDIRECT(ADDRESS(27,7))-INDIRECT(ADDRESS(27,6)))</f>
        <v>-9</v>
      </c>
      <c r="G7" s="20" t="s">
        <v>4</v>
      </c>
      <c r="H7" s="13">
        <f ca="1">IF(LEN(INDIRECT(ADDRESS(ROW()-1, COLUMN())))=1,"",INDIRECT(ADDRESS(37,6))-INDIRECT(ADDRESS(37,7)))</f>
        <v>11</v>
      </c>
      <c r="I7" s="13">
        <f ca="1">IF(LEN(INDIRECT(ADDRESS(ROW()-1, COLUMN())))=1,"",INDIRECT(ADDRESS(41,7))-INDIRECT(ADDRESS(41,6)))</f>
        <v>-6</v>
      </c>
      <c r="J7" s="13">
        <f ca="1">IF(LEN(INDIRECT(ADDRESS(ROW()-1, COLUMN())))=1,"",INDIRECT(ADDRESS(21,6))-INDIRECT(ADDRESS(21,7)))</f>
        <v>2</v>
      </c>
      <c r="K7" s="14">
        <f ca="1">IF(LEN(INDIRECT(ADDRESS(ROW()-1, COLUMN())))=1,"",INDIRECT(ADDRESS(30,6))-INDIRECT(ADDRESS(30,7)))</f>
        <v>2</v>
      </c>
      <c r="L7" s="87"/>
      <c r="M7" s="13">
        <f ca="1">IF(COUNT(F7:K7)=0,"",SUM(F7:K7))</f>
        <v>0</v>
      </c>
      <c r="N7" s="92"/>
    </row>
    <row r="8" spans="1:14" ht="24" customHeight="1" x14ac:dyDescent="0.25">
      <c r="A8" s="6"/>
      <c r="B8" s="79">
        <v>3</v>
      </c>
      <c r="C8" s="81" t="s">
        <v>167</v>
      </c>
      <c r="D8" s="82"/>
      <c r="E8" s="83"/>
      <c r="F8" s="15" t="str">
        <f ca="1">INDIRECT(ADDRESS(31,6))&amp;":"&amp;INDIRECT(ADDRESS(31,7))</f>
        <v>13:7</v>
      </c>
      <c r="G8" s="17" t="str">
        <f ca="1">INDIRECT(ADDRESS(37,7))&amp;":"&amp;INDIRECT(ADDRESS(37,6))</f>
        <v>2:13</v>
      </c>
      <c r="H8" s="16" t="s">
        <v>4</v>
      </c>
      <c r="I8" s="17" t="str">
        <f ca="1">INDIRECT(ADDRESS(22,6))&amp;":"&amp;INDIRECT(ADDRESS(22,7))</f>
        <v>13:4</v>
      </c>
      <c r="J8" s="17" t="str">
        <f ca="1">INDIRECT(ADDRESS(26,7))&amp;":"&amp;INDIRECT(ADDRESS(26,6))</f>
        <v>10:13</v>
      </c>
      <c r="K8" s="18" t="str">
        <f ca="1">INDIRECT(ADDRESS(40,6))&amp;":"&amp;INDIRECT(ADDRESS(40,7))</f>
        <v>6:13</v>
      </c>
      <c r="L8" s="87">
        <f ca="1">IF(COUNT(F9:K9)=0,"",COUNTIF(F9:K9,"&gt;0")+0.5*COUNTIF(F9:K9,0))</f>
        <v>2</v>
      </c>
      <c r="M8" s="13">
        <v>3</v>
      </c>
      <c r="N8" s="89">
        <v>4</v>
      </c>
    </row>
    <row r="9" spans="1:14" ht="24" customHeight="1" x14ac:dyDescent="0.25">
      <c r="A9" s="6"/>
      <c r="B9" s="91"/>
      <c r="C9" s="81"/>
      <c r="D9" s="82"/>
      <c r="E9" s="83"/>
      <c r="F9" s="19">
        <f ca="1">IF(LEN(INDIRECT(ADDRESS(ROW()-1, COLUMN())))=1,"",INDIRECT(ADDRESS(31,6))-INDIRECT(ADDRESS(31,7)))</f>
        <v>6</v>
      </c>
      <c r="G9" s="13">
        <f ca="1">IF(LEN(INDIRECT(ADDRESS(ROW()-1, COLUMN())))=1,"",INDIRECT(ADDRESS(37,7))-INDIRECT(ADDRESS(37,6)))</f>
        <v>-11</v>
      </c>
      <c r="H9" s="20" t="s">
        <v>4</v>
      </c>
      <c r="I9" s="13">
        <f ca="1">IF(LEN(INDIRECT(ADDRESS(ROW()-1, COLUMN())))=1,"",INDIRECT(ADDRESS(22,6))-INDIRECT(ADDRESS(22,7)))</f>
        <v>9</v>
      </c>
      <c r="J9" s="13">
        <f ca="1">IF(LEN(INDIRECT(ADDRESS(ROW()-1, COLUMN())))=1,"",INDIRECT(ADDRESS(26,7))-INDIRECT(ADDRESS(26,6)))</f>
        <v>-3</v>
      </c>
      <c r="K9" s="14">
        <f ca="1">IF(LEN(INDIRECT(ADDRESS(ROW()-1, COLUMN())))=1,"",INDIRECT(ADDRESS(40,6))-INDIRECT(ADDRESS(40,7)))</f>
        <v>-7</v>
      </c>
      <c r="L9" s="87"/>
      <c r="M9" s="13">
        <f ca="1">IF(COUNT(F9:K9)=0,"",SUM(F9:K9))</f>
        <v>-6</v>
      </c>
      <c r="N9" s="92"/>
    </row>
    <row r="10" spans="1:14" ht="24" customHeight="1" x14ac:dyDescent="0.25">
      <c r="A10" s="6"/>
      <c r="B10" s="79">
        <v>4</v>
      </c>
      <c r="C10" s="93" t="s">
        <v>168</v>
      </c>
      <c r="D10" s="94"/>
      <c r="E10" s="95"/>
      <c r="F10" s="15" t="str">
        <f ca="1">INDIRECT(ADDRESS(36,7))&amp;":"&amp;INDIRECT(ADDRESS(36,6))</f>
        <v>13:12</v>
      </c>
      <c r="G10" s="17" t="str">
        <f ca="1">INDIRECT(ADDRESS(41,6))&amp;":"&amp;INDIRECT(ADDRESS(41,7))</f>
        <v>13:7</v>
      </c>
      <c r="H10" s="17" t="str">
        <f ca="1">INDIRECT(ADDRESS(22,7))&amp;":"&amp;INDIRECT(ADDRESS(22,6))</f>
        <v>4:13</v>
      </c>
      <c r="I10" s="16" t="s">
        <v>4</v>
      </c>
      <c r="J10" s="17" t="str">
        <f ca="1">INDIRECT(ADDRESS(32,6))&amp;":"&amp;INDIRECT(ADDRESS(32,7))</f>
        <v>4:13</v>
      </c>
      <c r="K10" s="18" t="str">
        <f ca="1">INDIRECT(ADDRESS(25,7))&amp;":"&amp;INDIRECT(ADDRESS(25,6))</f>
        <v>13:2</v>
      </c>
      <c r="L10" s="87">
        <f ca="1">IF(COUNT(F11:K11)=0,"",COUNTIF(F11:K11,"&gt;0")+0.5*COUNTIF(F11:K11,0))</f>
        <v>3</v>
      </c>
      <c r="M10" s="13">
        <v>17</v>
      </c>
      <c r="N10" s="89">
        <v>1</v>
      </c>
    </row>
    <row r="11" spans="1:14" ht="24" customHeight="1" x14ac:dyDescent="0.25">
      <c r="A11" s="6"/>
      <c r="B11" s="91"/>
      <c r="C11" s="93"/>
      <c r="D11" s="94"/>
      <c r="E11" s="95"/>
      <c r="F11" s="19">
        <f ca="1">IF(LEN(INDIRECT(ADDRESS(ROW()-1, COLUMN())))=1,"",INDIRECT(ADDRESS(36,7))-INDIRECT(ADDRESS(36,6)))</f>
        <v>1</v>
      </c>
      <c r="G11" s="13">
        <f ca="1">IF(LEN(INDIRECT(ADDRESS(ROW()-1, COLUMN())))=1,"",INDIRECT(ADDRESS(41,6))-INDIRECT(ADDRESS(41,7)))</f>
        <v>6</v>
      </c>
      <c r="H11" s="13">
        <f ca="1">IF(LEN(INDIRECT(ADDRESS(ROW()-1, COLUMN())))=1,"",INDIRECT(ADDRESS(22,7))-INDIRECT(ADDRESS(22,6)))</f>
        <v>-9</v>
      </c>
      <c r="I11" s="20" t="s">
        <v>4</v>
      </c>
      <c r="J11" s="13">
        <f ca="1">IF(LEN(INDIRECT(ADDRESS(ROW()-1, COLUMN())))=1,"",INDIRECT(ADDRESS(32,6))-INDIRECT(ADDRESS(32,7)))</f>
        <v>-9</v>
      </c>
      <c r="K11" s="14">
        <f ca="1">IF(LEN(INDIRECT(ADDRESS(ROW()-1, COLUMN())))=1,"",INDIRECT(ADDRESS(25,7))-INDIRECT(ADDRESS(25,6)))</f>
        <v>11</v>
      </c>
      <c r="L11" s="87"/>
      <c r="M11" s="13">
        <f ca="1">IF(COUNT(F11:K11)=0,"",SUM(F11:K11))</f>
        <v>0</v>
      </c>
      <c r="N11" s="92"/>
    </row>
    <row r="12" spans="1:14" ht="24" customHeight="1" x14ac:dyDescent="0.25">
      <c r="A12" s="6"/>
      <c r="B12" s="79">
        <v>5</v>
      </c>
      <c r="C12" s="81" t="s">
        <v>169</v>
      </c>
      <c r="D12" s="82"/>
      <c r="E12" s="83"/>
      <c r="F12" s="15" t="str">
        <f ca="1">INDIRECT(ADDRESS(42,6))&amp;":"&amp;INDIRECT(ADDRESS(42,7))</f>
        <v>12:13</v>
      </c>
      <c r="G12" s="17" t="str">
        <f ca="1">INDIRECT(ADDRESS(21,7))&amp;":"&amp;INDIRECT(ADDRESS(21,6))</f>
        <v>11:13</v>
      </c>
      <c r="H12" s="17" t="str">
        <f ca="1">INDIRECT(ADDRESS(26,6))&amp;":"&amp;INDIRECT(ADDRESS(26,7))</f>
        <v>13:10</v>
      </c>
      <c r="I12" s="17" t="str">
        <f ca="1">INDIRECT(ADDRESS(32,7))&amp;":"&amp;INDIRECT(ADDRESS(32,6))</f>
        <v>13:4</v>
      </c>
      <c r="J12" s="16" t="s">
        <v>4</v>
      </c>
      <c r="K12" s="18" t="str">
        <f ca="1">INDIRECT(ADDRESS(35,7))&amp;":"&amp;INDIRECT(ADDRESS(35,6))</f>
        <v>10:13</v>
      </c>
      <c r="L12" s="87">
        <f ca="1">IF(COUNT(F13:K13)=0,"",COUNTIF(F13:K13,"&gt;0")+0.5*COUNTIF(F13:K13,0))</f>
        <v>2</v>
      </c>
      <c r="M12" s="13">
        <v>2</v>
      </c>
      <c r="N12" s="89">
        <v>5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-1</v>
      </c>
      <c r="G13" s="13">
        <f ca="1">IF(LEN(INDIRECT(ADDRESS(ROW()-1, COLUMN())))=1,"",INDIRECT(ADDRESS(21,7))-INDIRECT(ADDRESS(21,6)))</f>
        <v>-2</v>
      </c>
      <c r="H13" s="13">
        <f ca="1">IF(LEN(INDIRECT(ADDRESS(ROW()-1, COLUMN())))=1,"",INDIRECT(ADDRESS(26,6))-INDIRECT(ADDRESS(26,7)))</f>
        <v>3</v>
      </c>
      <c r="I13" s="13">
        <f ca="1">IF(LEN(INDIRECT(ADDRESS(ROW()-1, COLUMN())))=1,"",INDIRECT(ADDRESS(32,7))-INDIRECT(ADDRESS(32,6)))</f>
        <v>9</v>
      </c>
      <c r="J13" s="20" t="s">
        <v>4</v>
      </c>
      <c r="K13" s="14">
        <f ca="1">IF(LEN(INDIRECT(ADDRESS(ROW()-1, COLUMN())))=1,"",INDIRECT(ADDRESS(35,7))-INDIRECT(ADDRESS(35,6)))</f>
        <v>-3</v>
      </c>
      <c r="L13" s="87"/>
      <c r="M13" s="13">
        <f ca="1">IF(COUNT(F13:K13)=0,"",SUM(F13:K13))</f>
        <v>6</v>
      </c>
      <c r="N13" s="92"/>
    </row>
    <row r="14" spans="1:14" ht="24" customHeight="1" x14ac:dyDescent="0.25">
      <c r="A14" s="6"/>
      <c r="B14" s="79">
        <v>6</v>
      </c>
      <c r="C14" s="81" t="s">
        <v>170</v>
      </c>
      <c r="D14" s="82"/>
      <c r="E14" s="83"/>
      <c r="F14" s="15" t="str">
        <f ca="1">INDIRECT(ADDRESS(20,7))&amp;":"&amp;INDIRECT(ADDRESS(20,6))</f>
        <v>13:9</v>
      </c>
      <c r="G14" s="17" t="str">
        <f ca="1">INDIRECT(ADDRESS(30,7))&amp;":"&amp;INDIRECT(ADDRESS(30,6))</f>
        <v>11:13</v>
      </c>
      <c r="H14" s="17" t="str">
        <f ca="1">INDIRECT(ADDRESS(40,7))&amp;":"&amp;INDIRECT(ADDRESS(40,6))</f>
        <v>13:6</v>
      </c>
      <c r="I14" s="17" t="str">
        <f ca="1">INDIRECT(ADDRESS(25,6))&amp;":"&amp;INDIRECT(ADDRESS(25,7))</f>
        <v>2:13</v>
      </c>
      <c r="J14" s="17" t="str">
        <f ca="1">INDIRECT(ADDRESS(35,6))&amp;":"&amp;INDIRECT(ADDRESS(35,7))</f>
        <v>13:10</v>
      </c>
      <c r="K14" s="21" t="s">
        <v>4</v>
      </c>
      <c r="L14" s="87">
        <f ca="1">IF(COUNT(F15:K15)=0,"",COUNTIF(F15:K15,"&gt;0")+0.5*COUNTIF(F15:K15,0))</f>
        <v>3</v>
      </c>
      <c r="M14" s="13">
        <v>-13</v>
      </c>
      <c r="N14" s="89">
        <v>3</v>
      </c>
    </row>
    <row r="15" spans="1:14" ht="24" customHeight="1" thickBot="1" x14ac:dyDescent="0.3">
      <c r="A15" s="6"/>
      <c r="B15" s="80"/>
      <c r="C15" s="84"/>
      <c r="D15" s="85"/>
      <c r="E15" s="86"/>
      <c r="F15" s="22">
        <f ca="1">IF(LEN(INDIRECT(ADDRESS(ROW()-1, COLUMN())))=1,"",INDIRECT(ADDRESS(20,7))-INDIRECT(ADDRESS(20,6)))</f>
        <v>4</v>
      </c>
      <c r="G15" s="23">
        <f ca="1">IF(LEN(INDIRECT(ADDRESS(ROW()-1, COLUMN())))=1,"",INDIRECT(ADDRESS(30,7))-INDIRECT(ADDRESS(30,6)))</f>
        <v>-2</v>
      </c>
      <c r="H15" s="23">
        <f ca="1">IF(LEN(INDIRECT(ADDRESS(ROW()-1, COLUMN())))=1,"",INDIRECT(ADDRESS(40,7))-INDIRECT(ADDRESS(40,6)))</f>
        <v>7</v>
      </c>
      <c r="I15" s="23">
        <f ca="1">IF(LEN(INDIRECT(ADDRESS(ROW()-1, COLUMN())))=1,"",INDIRECT(ADDRESS(25,6))-INDIRECT(ADDRESS(25,7)))</f>
        <v>-11</v>
      </c>
      <c r="J15" s="23">
        <f ca="1">IF(LEN(INDIRECT(ADDRESS(ROW()-1, COLUMN())))=1,"",INDIRECT(ADDRESS(35,6))-INDIRECT(ADDRESS(35,7)))</f>
        <v>3</v>
      </c>
      <c r="K15" s="24" t="s">
        <v>4</v>
      </c>
      <c r="L15" s="88"/>
      <c r="M15" s="23">
        <f ca="1">IF(COUNT(F15:K15)=0,"",SUM(F15:K15))</f>
        <v>1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Трофимова Катерина</v>
      </c>
      <c r="D20" s="75"/>
      <c r="E20" s="76"/>
      <c r="F20" s="26">
        <v>9</v>
      </c>
      <c r="G20" s="27">
        <v>13</v>
      </c>
      <c r="H20" s="77" t="str">
        <f ca="1">IF(ISBLANK(INDIRECT(ADDRESS(K20*2+2,3))),"",INDIRECT(ADDRESS(K20*2+2,3)))</f>
        <v>Савченко Елена</v>
      </c>
      <c r="I20" s="75"/>
      <c r="J20" s="75"/>
      <c r="K20" s="25">
        <v>6</v>
      </c>
      <c r="L20" s="28" t="s">
        <v>6</v>
      </c>
      <c r="M20" s="29"/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Дубовицкая Ольга</v>
      </c>
      <c r="D21" s="75"/>
      <c r="E21" s="76"/>
      <c r="F21" s="26">
        <v>13</v>
      </c>
      <c r="G21" s="27">
        <v>11</v>
      </c>
      <c r="H21" s="77" t="str">
        <f ca="1">IF(ISBLANK(INDIRECT(ADDRESS(K21*2+2,3))),"",INDIRECT(ADDRESS(K21*2+2,3)))</f>
        <v>Кайтукова Фатима</v>
      </c>
      <c r="I21" s="75"/>
      <c r="J21" s="75"/>
      <c r="K21" s="25">
        <v>5</v>
      </c>
      <c r="L21" s="28" t="s">
        <v>6</v>
      </c>
      <c r="M21" s="29"/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Грачанац Наталья</v>
      </c>
      <c r="D22" s="75"/>
      <c r="E22" s="76"/>
      <c r="F22" s="26">
        <v>13</v>
      </c>
      <c r="G22" s="27">
        <v>4</v>
      </c>
      <c r="H22" s="77" t="str">
        <f ca="1">IF(ISBLANK(INDIRECT(ADDRESS(K22*2+2,3))),"",INDIRECT(ADDRESS(K22*2+2,3)))</f>
        <v>Агапова Кристина</v>
      </c>
      <c r="I22" s="75"/>
      <c r="J22" s="75"/>
      <c r="K22" s="25">
        <v>4</v>
      </c>
      <c r="L22" s="28" t="s">
        <v>6</v>
      </c>
      <c r="M22" s="29"/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Савченко Елена</v>
      </c>
      <c r="D25" s="75"/>
      <c r="E25" s="76"/>
      <c r="F25" s="26">
        <v>2</v>
      </c>
      <c r="G25" s="27">
        <v>13</v>
      </c>
      <c r="H25" s="77" t="str">
        <f ca="1">IF(ISBLANK(INDIRECT(ADDRESS(K25*2+2,3))),"",INDIRECT(ADDRESS(K25*2+2,3)))</f>
        <v>Агапова Кристина</v>
      </c>
      <c r="I25" s="75"/>
      <c r="J25" s="75"/>
      <c r="K25" s="25">
        <v>4</v>
      </c>
      <c r="L25" s="28" t="s">
        <v>6</v>
      </c>
      <c r="M25" s="29"/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Кайтукова Фатима</v>
      </c>
      <c r="D26" s="75"/>
      <c r="E26" s="76"/>
      <c r="F26" s="26">
        <v>13</v>
      </c>
      <c r="G26" s="27">
        <v>10</v>
      </c>
      <c r="H26" s="77" t="str">
        <f ca="1">IF(ISBLANK(INDIRECT(ADDRESS(K26*2+2,3))),"",INDIRECT(ADDRESS(K26*2+2,3)))</f>
        <v>Грачанац Наталья</v>
      </c>
      <c r="I26" s="75"/>
      <c r="J26" s="75"/>
      <c r="K26" s="25">
        <v>3</v>
      </c>
      <c r="L26" s="28" t="s">
        <v>6</v>
      </c>
      <c r="M26" s="29"/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Трофимова Катерина</v>
      </c>
      <c r="D27" s="75"/>
      <c r="E27" s="76"/>
      <c r="F27" s="26">
        <v>13</v>
      </c>
      <c r="G27" s="27">
        <v>4</v>
      </c>
      <c r="H27" s="77" t="str">
        <f ca="1">IF(ISBLANK(INDIRECT(ADDRESS(K27*2+2,3))),"",INDIRECT(ADDRESS(K27*2+2,3)))</f>
        <v>Дубовицкая Ольга</v>
      </c>
      <c r="I27" s="75"/>
      <c r="J27" s="75"/>
      <c r="K27" s="25">
        <v>2</v>
      </c>
      <c r="L27" s="28" t="s">
        <v>6</v>
      </c>
      <c r="M27" s="29"/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Дубовицкая Ольга</v>
      </c>
      <c r="D30" s="75"/>
      <c r="E30" s="76"/>
      <c r="F30" s="26">
        <v>13</v>
      </c>
      <c r="G30" s="27">
        <v>11</v>
      </c>
      <c r="H30" s="77" t="str">
        <f ca="1">IF(ISBLANK(INDIRECT(ADDRESS(K30*2+2,3))),"",INDIRECT(ADDRESS(K30*2+2,3)))</f>
        <v>Савченко Елена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Грачанац Наталья</v>
      </c>
      <c r="D31" s="75"/>
      <c r="E31" s="76"/>
      <c r="F31" s="26">
        <v>13</v>
      </c>
      <c r="G31" s="27">
        <v>7</v>
      </c>
      <c r="H31" s="77" t="str">
        <f ca="1">IF(ISBLANK(INDIRECT(ADDRESS(K31*2+2,3))),"",INDIRECT(ADDRESS(K31*2+2,3)))</f>
        <v>Трофимова Катерина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Агапова Кристина</v>
      </c>
      <c r="D32" s="75"/>
      <c r="E32" s="76"/>
      <c r="F32" s="26">
        <v>4</v>
      </c>
      <c r="G32" s="27">
        <v>13</v>
      </c>
      <c r="H32" s="77" t="str">
        <f ca="1">IF(ISBLANK(INDIRECT(ADDRESS(K32*2+2,3))),"",INDIRECT(ADDRESS(K32*2+2,3)))</f>
        <v>Кайтукова Фатима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Савченко Елена</v>
      </c>
      <c r="D35" s="75"/>
      <c r="E35" s="76"/>
      <c r="F35" s="26">
        <v>13</v>
      </c>
      <c r="G35" s="27">
        <v>10</v>
      </c>
      <c r="H35" s="77" t="str">
        <f ca="1">IF(ISBLANK(INDIRECT(ADDRESS(K35*2+2,3))),"",INDIRECT(ADDRESS(K35*2+2,3)))</f>
        <v>Кайтукова Фатима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Трофимова Катерина</v>
      </c>
      <c r="D36" s="75"/>
      <c r="E36" s="76"/>
      <c r="F36" s="26">
        <v>12</v>
      </c>
      <c r="G36" s="27">
        <v>13</v>
      </c>
      <c r="H36" s="77" t="str">
        <f ca="1">IF(ISBLANK(INDIRECT(ADDRESS(K36*2+2,3))),"",INDIRECT(ADDRESS(K36*2+2,3)))</f>
        <v>Агапова Кристина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Дубовицкая Ольга</v>
      </c>
      <c r="D37" s="75"/>
      <c r="E37" s="76"/>
      <c r="F37" s="26">
        <v>13</v>
      </c>
      <c r="G37" s="27">
        <v>2</v>
      </c>
      <c r="H37" s="77" t="str">
        <f ca="1">IF(ISBLANK(INDIRECT(ADDRESS(K37*2+2,3))),"",INDIRECT(ADDRESS(K37*2+2,3)))</f>
        <v>Грачанац Наталья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Грачанац Наталья</v>
      </c>
      <c r="D40" s="75"/>
      <c r="E40" s="76"/>
      <c r="F40" s="26">
        <v>6</v>
      </c>
      <c r="G40" s="27">
        <v>13</v>
      </c>
      <c r="H40" s="77" t="str">
        <f ca="1">IF(ISBLANK(INDIRECT(ADDRESS(K40*2+2,3))),"",INDIRECT(ADDRESS(K40*2+2,3)))</f>
        <v>Савченко Елена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Агапова Кристина</v>
      </c>
      <c r="D41" s="75"/>
      <c r="E41" s="76"/>
      <c r="F41" s="26">
        <v>13</v>
      </c>
      <c r="G41" s="27">
        <v>7</v>
      </c>
      <c r="H41" s="77" t="str">
        <f ca="1">IF(ISBLANK(INDIRECT(ADDRESS(K41*2+2,3))),"",INDIRECT(ADDRESS(K41*2+2,3)))</f>
        <v>Дубовицкая Ольга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Кайтукова Фатима</v>
      </c>
      <c r="D42" s="75"/>
      <c r="E42" s="76"/>
      <c r="F42" s="26">
        <v>12</v>
      </c>
      <c r="G42" s="27">
        <v>13</v>
      </c>
      <c r="H42" s="77" t="str">
        <f ca="1">IF(ISBLANK(INDIRECT(ADDRESS(K42*2+2,3))),"",INDIRECT(ADDRESS(K42*2+2,3)))</f>
        <v>Трофимова Катерина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8" sqref="C8:E9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59.25" customHeight="1" x14ac:dyDescent="0.25">
      <c r="B1" s="97" t="s">
        <v>105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3" ht="15.75" thickBot="1" x14ac:dyDescent="0.3">
      <c r="M2"/>
    </row>
    <row r="3" spans="1:13" ht="30" customHeight="1" thickBot="1" x14ac:dyDescent="0.3">
      <c r="A3" s="6"/>
      <c r="B3" s="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1</v>
      </c>
      <c r="L3" s="2" t="s">
        <v>2</v>
      </c>
      <c r="M3" s="32" t="s">
        <v>3</v>
      </c>
    </row>
    <row r="4" spans="1:13" ht="24" customHeight="1" x14ac:dyDescent="0.25">
      <c r="A4" s="6"/>
      <c r="B4" s="101">
        <v>1</v>
      </c>
      <c r="C4" s="109" t="s">
        <v>171</v>
      </c>
      <c r="D4" s="110"/>
      <c r="E4" s="111"/>
      <c r="F4" s="8" t="s">
        <v>4</v>
      </c>
      <c r="G4" s="9" t="str">
        <f ca="1">INDIRECT(ADDRESS(23,6))&amp;":"&amp;INDIRECT(ADDRESS(23,7))</f>
        <v>13:5</v>
      </c>
      <c r="H4" s="9" t="str">
        <f ca="1">INDIRECT(ADDRESS(26,7))&amp;":"&amp;INDIRECT(ADDRESS(26,6))</f>
        <v>12:11</v>
      </c>
      <c r="I4" s="9" t="str">
        <f ca="1">INDIRECT(ADDRESS(30,6))&amp;":"&amp;INDIRECT(ADDRESS(30,7))</f>
        <v>13:5</v>
      </c>
      <c r="J4" s="10" t="str">
        <f ca="1">INDIRECT(ADDRESS(35,7))&amp;":"&amp;INDIRECT(ADDRESS(35,6))</f>
        <v>13:3</v>
      </c>
      <c r="K4" s="123">
        <f ca="1">IF(COUNT(F5:J5)=0,"",COUNTIF(F5:J5,"&gt;0")+0.5*COUNTIF(F5:J5,0))</f>
        <v>4</v>
      </c>
      <c r="L4" s="11"/>
      <c r="M4" s="122">
        <v>1</v>
      </c>
    </row>
    <row r="5" spans="1:13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COLUMN())))=1,"",INDIRECT(ADDRESS(23,6))-INDIRECT(ADDRESS(23,7)))</f>
        <v>8</v>
      </c>
      <c r="H5" s="13">
        <f ca="1">IF(LEN(INDIRECT(ADDRESS(ROW()-1, COLUMN())))=1,"",INDIRECT(ADDRESS(26,7))-INDIRECT(ADDRESS(26,6)))</f>
        <v>1</v>
      </c>
      <c r="I5" s="13">
        <f ca="1">IF(LEN(INDIRECT(ADDRESS(ROW()-1, COLUMN())))=1,"",INDIRECT(ADDRESS(30,6))-INDIRECT(ADDRESS(30,7)))</f>
        <v>8</v>
      </c>
      <c r="J5" s="14">
        <f ca="1">IF(LEN(INDIRECT(ADDRESS(ROW()-1, COLUMN())))=1,"",INDIRECT(ADDRESS(35,7))-INDIRECT(ADDRESS(35,6)))</f>
        <v>10</v>
      </c>
      <c r="K5" s="112"/>
      <c r="L5" s="13">
        <f ca="1">IF(COUNT(F5:J5)=0,"",SUM(F5:J5))</f>
        <v>27</v>
      </c>
      <c r="M5" s="120"/>
    </row>
    <row r="6" spans="1:13" ht="24" customHeight="1" x14ac:dyDescent="0.25">
      <c r="A6" s="6"/>
      <c r="B6" s="79">
        <v>2</v>
      </c>
      <c r="C6" s="93" t="s">
        <v>172</v>
      </c>
      <c r="D6" s="94"/>
      <c r="E6" s="95"/>
      <c r="F6" s="15" t="str">
        <f ca="1">INDIRECT(ADDRESS(23,7))&amp;":"&amp;INDIRECT(ADDRESS(23,6))</f>
        <v>5:13</v>
      </c>
      <c r="G6" s="16" t="s">
        <v>4</v>
      </c>
      <c r="H6" s="17" t="str">
        <f ca="1">INDIRECT(ADDRESS(31,6))&amp;":"&amp;INDIRECT(ADDRESS(31,7))</f>
        <v>12:9</v>
      </c>
      <c r="I6" s="17" t="str">
        <f ca="1">INDIRECT(ADDRESS(34,7))&amp;":"&amp;INDIRECT(ADDRESS(34,6))</f>
        <v>5:13</v>
      </c>
      <c r="J6" s="18" t="str">
        <f ca="1">INDIRECT(ADDRESS(18,6))&amp;":"&amp;INDIRECT(ADDRESS(18,7))</f>
        <v>13:6</v>
      </c>
      <c r="K6" s="112">
        <f ca="1">IF(COUNT(F7:J7)=0,"",COUNTIF(F7:J7,"&gt;0")+0.5*COUNTIF(F7:J7,0))</f>
        <v>2</v>
      </c>
      <c r="L6" s="13"/>
      <c r="M6" s="120">
        <v>2</v>
      </c>
    </row>
    <row r="7" spans="1:13" ht="24" customHeight="1" x14ac:dyDescent="0.25">
      <c r="A7" s="6"/>
      <c r="B7" s="91"/>
      <c r="C7" s="93"/>
      <c r="D7" s="94"/>
      <c r="E7" s="95"/>
      <c r="F7" s="19">
        <f ca="1">IF(LEN(INDIRECT(ADDRESS(ROW()-1, COLUMN())))=1,"",INDIRECT(ADDRESS(23,7))-INDIRECT(ADDRESS(23,6)))</f>
        <v>-8</v>
      </c>
      <c r="G7" s="20" t="s">
        <v>4</v>
      </c>
      <c r="H7" s="13">
        <f ca="1">IF(LEN(INDIRECT(ADDRESS(ROW()-1, COLUMN())))=1,"",INDIRECT(ADDRESS(31,6))-INDIRECT(ADDRESS(31,7)))</f>
        <v>3</v>
      </c>
      <c r="I7" s="13">
        <f ca="1">IF(LEN(INDIRECT(ADDRESS(ROW()-1, COLUMN())))=1,"",INDIRECT(ADDRESS(34,7))-INDIRECT(ADDRESS(34,6)))</f>
        <v>-8</v>
      </c>
      <c r="J7" s="14">
        <f ca="1">IF(LEN(INDIRECT(ADDRESS(ROW()-1, COLUMN())))=1,"",INDIRECT(ADDRESS(18,6))-INDIRECT(ADDRESS(18,7)))</f>
        <v>7</v>
      </c>
      <c r="K7" s="112"/>
      <c r="L7" s="13">
        <f ca="1">IF(COUNT(F7:J7)=0,"",SUM(F7:J7))</f>
        <v>-6</v>
      </c>
      <c r="M7" s="120"/>
    </row>
    <row r="8" spans="1:13" ht="24" customHeight="1" x14ac:dyDescent="0.25">
      <c r="A8" s="6"/>
      <c r="B8" s="79">
        <v>3</v>
      </c>
      <c r="C8" s="81" t="s">
        <v>173</v>
      </c>
      <c r="D8" s="82"/>
      <c r="E8" s="83"/>
      <c r="F8" s="15" t="str">
        <f ca="1">INDIRECT(ADDRESS(26,6))&amp;":"&amp;INDIRECT(ADDRESS(26,7))</f>
        <v>11:12</v>
      </c>
      <c r="G8" s="17" t="str">
        <f ca="1">INDIRECT(ADDRESS(31,7))&amp;":"&amp;INDIRECT(ADDRESS(31,6))</f>
        <v>9:12</v>
      </c>
      <c r="H8" s="16" t="s">
        <v>4</v>
      </c>
      <c r="I8" s="17" t="str">
        <f ca="1">INDIRECT(ADDRESS(19,6))&amp;":"&amp;INDIRECT(ADDRESS(19,7))</f>
        <v>11:8</v>
      </c>
      <c r="J8" s="18" t="str">
        <f ca="1">INDIRECT(ADDRESS(22,7))&amp;":"&amp;INDIRECT(ADDRESS(22,6))</f>
        <v>11:6</v>
      </c>
      <c r="K8" s="112">
        <f ca="1">IF(COUNT(F9:J9)=0,"",COUNTIF(F9:J9,"&gt;0")+0.5*COUNTIF(F9:J9,0))</f>
        <v>2</v>
      </c>
      <c r="L8" s="13"/>
      <c r="M8" s="120">
        <v>3</v>
      </c>
    </row>
    <row r="9" spans="1:13" ht="24" customHeight="1" x14ac:dyDescent="0.25">
      <c r="A9" s="6"/>
      <c r="B9" s="91"/>
      <c r="C9" s="81"/>
      <c r="D9" s="82"/>
      <c r="E9" s="83"/>
      <c r="F9" s="19">
        <f ca="1">IF(LEN(INDIRECT(ADDRESS(ROW()-1, COLUMN())))=1,"",INDIRECT(ADDRESS(26,6))-INDIRECT(ADDRESS(26,7)))</f>
        <v>-1</v>
      </c>
      <c r="G9" s="13">
        <f ca="1">IF(LEN(INDIRECT(ADDRESS(ROW()-1, COLUMN())))=1,"",INDIRECT(ADDRESS(31,7))-INDIRECT(ADDRESS(31,6)))</f>
        <v>-3</v>
      </c>
      <c r="H9" s="20" t="s">
        <v>4</v>
      </c>
      <c r="I9" s="13">
        <f ca="1">IF(LEN(INDIRECT(ADDRESS(ROW()-1, COLUMN())))=1,"",INDIRECT(ADDRESS(19,6))-INDIRECT(ADDRESS(19,7)))</f>
        <v>3</v>
      </c>
      <c r="J9" s="14">
        <f ca="1">IF(LEN(INDIRECT(ADDRESS(ROW()-1, COLUMN())))=1,"",INDIRECT(ADDRESS(22,7))-INDIRECT(ADDRESS(22,6)))</f>
        <v>5</v>
      </c>
      <c r="K9" s="112"/>
      <c r="L9" s="13">
        <f ca="1">IF(COUNT(F9:J9)=0,"",SUM(F9:J9))</f>
        <v>4</v>
      </c>
      <c r="M9" s="120"/>
    </row>
    <row r="10" spans="1:13" ht="24" customHeight="1" x14ac:dyDescent="0.25">
      <c r="A10" s="6"/>
      <c r="B10" s="79">
        <v>4</v>
      </c>
      <c r="C10" s="81" t="s">
        <v>174</v>
      </c>
      <c r="D10" s="82"/>
      <c r="E10" s="83"/>
      <c r="F10" s="15" t="str">
        <f ca="1">INDIRECT(ADDRESS(30,7))&amp;":"&amp;INDIRECT(ADDRESS(30,6))</f>
        <v>5:13</v>
      </c>
      <c r="G10" s="17" t="str">
        <f ca="1">INDIRECT(ADDRESS(34,6))&amp;":"&amp;INDIRECT(ADDRESS(34,7))</f>
        <v>13:5</v>
      </c>
      <c r="H10" s="17" t="str">
        <f ca="1">INDIRECT(ADDRESS(19,7))&amp;":"&amp;INDIRECT(ADDRESS(19,6))</f>
        <v>8:11</v>
      </c>
      <c r="I10" s="16" t="s">
        <v>4</v>
      </c>
      <c r="J10" s="18" t="str">
        <f ca="1">INDIRECT(ADDRESS(27,6))&amp;":"&amp;INDIRECT(ADDRESS(27,7))</f>
        <v>2:13</v>
      </c>
      <c r="K10" s="112">
        <f ca="1">IF(COUNT(F11:J11)=0,"",COUNTIF(F11:J11,"&gt;0")+0.5*COUNTIF(F11:J11,0))</f>
        <v>1</v>
      </c>
      <c r="L10" s="13"/>
      <c r="M10" s="120">
        <v>5</v>
      </c>
    </row>
    <row r="11" spans="1:13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COLUMN())))=1,"",INDIRECT(ADDRESS(30,7))-INDIRECT(ADDRESS(30,6)))</f>
        <v>-8</v>
      </c>
      <c r="G11" s="13">
        <f ca="1">IF(LEN(INDIRECT(ADDRESS(ROW()-1, COLUMN())))=1,"",INDIRECT(ADDRESS(34,6))-INDIRECT(ADDRESS(34,7)))</f>
        <v>8</v>
      </c>
      <c r="H11" s="13">
        <f ca="1">IF(LEN(INDIRECT(ADDRESS(ROW()-1, COLUMN())))=1,"",INDIRECT(ADDRESS(19,7))-INDIRECT(ADDRESS(19,6)))</f>
        <v>-3</v>
      </c>
      <c r="I11" s="20" t="s">
        <v>4</v>
      </c>
      <c r="J11" s="14">
        <f ca="1">IF(LEN(INDIRECT(ADDRESS(ROW()-1, COLUMN())))=1,"",INDIRECT(ADDRESS(27,6))-INDIRECT(ADDRESS(27,7)))</f>
        <v>-11</v>
      </c>
      <c r="K11" s="112"/>
      <c r="L11" s="13">
        <f ca="1">IF(COUNT(F11:J11)=0,"",SUM(F11:J11))</f>
        <v>-14</v>
      </c>
      <c r="M11" s="120"/>
    </row>
    <row r="12" spans="1:13" ht="24" customHeight="1" x14ac:dyDescent="0.25">
      <c r="A12" s="6"/>
      <c r="B12" s="79">
        <v>5</v>
      </c>
      <c r="C12" s="81" t="s">
        <v>175</v>
      </c>
      <c r="D12" s="82"/>
      <c r="E12" s="83"/>
      <c r="F12" s="15" t="str">
        <f ca="1">INDIRECT(ADDRESS(35,6))&amp;":"&amp;INDIRECT(ADDRESS(35,7))</f>
        <v>3:13</v>
      </c>
      <c r="G12" s="17" t="str">
        <f ca="1">INDIRECT(ADDRESS(18,7))&amp;":"&amp;INDIRECT(ADDRESS(18,6))</f>
        <v>6:13</v>
      </c>
      <c r="H12" s="17" t="str">
        <f ca="1">INDIRECT(ADDRESS(22,6))&amp;":"&amp;INDIRECT(ADDRESS(22,7))</f>
        <v>6:11</v>
      </c>
      <c r="I12" s="17" t="str">
        <f ca="1">INDIRECT(ADDRESS(27,7))&amp;":"&amp;INDIRECT(ADDRESS(27,6))</f>
        <v>13:2</v>
      </c>
      <c r="J12" s="21" t="s">
        <v>4</v>
      </c>
      <c r="K12" s="112">
        <f ca="1">IF(COUNT(F13:J13)=0,"",COUNTIF(F13:J13,"&gt;0")+0.5*COUNTIF(F13:J13,0))</f>
        <v>1</v>
      </c>
      <c r="L12" s="13"/>
      <c r="M12" s="120">
        <v>4</v>
      </c>
    </row>
    <row r="13" spans="1:13" ht="24" customHeight="1" thickBot="1" x14ac:dyDescent="0.3">
      <c r="A13" s="6"/>
      <c r="B13" s="80"/>
      <c r="C13" s="84"/>
      <c r="D13" s="85"/>
      <c r="E13" s="86"/>
      <c r="F13" s="22">
        <f ca="1">IF(LEN(INDIRECT(ADDRESS(ROW()-1, COLUMN())))=1,"",INDIRECT(ADDRESS(35,6))-INDIRECT(ADDRESS(35,7)))</f>
        <v>-10</v>
      </c>
      <c r="G13" s="23">
        <f ca="1">IF(LEN(INDIRECT(ADDRESS(ROW()-1, COLUMN())))=1,"",INDIRECT(ADDRESS(18,7))-INDIRECT(ADDRESS(18,6)))</f>
        <v>-7</v>
      </c>
      <c r="H13" s="23">
        <f ca="1">IF(LEN(INDIRECT(ADDRESS(ROW()-1, COLUMN())))=1,"",INDIRECT(ADDRESS(22,6))-INDIRECT(ADDRESS(22,7)))</f>
        <v>-5</v>
      </c>
      <c r="I13" s="23">
        <f ca="1">IF(LEN(INDIRECT(ADDRESS(ROW()-1, COLUMN())))=1,"",INDIRECT(ADDRESS(27,7))-INDIRECT(ADDRESS(27,6)))</f>
        <v>11</v>
      </c>
      <c r="J13" s="24" t="s">
        <v>4</v>
      </c>
      <c r="K13" s="117"/>
      <c r="L13" s="23">
        <f ca="1">IF(COUNT(F13:J13)=0,"",SUM(F13:J13))</f>
        <v>-11</v>
      </c>
      <c r="M13" s="12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30" customHeight="1" thickBot="1" x14ac:dyDescent="0.3">
      <c r="B17" s="78" t="s">
        <v>5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3" ht="30" customHeight="1" thickBot="1" x14ac:dyDescent="0.3">
      <c r="B18" s="25">
        <v>2</v>
      </c>
      <c r="C18" s="75" t="str">
        <f ca="1">IF(ISBLANK(INDIRECT(ADDRESS(B18*2+2,3))),"",INDIRECT(ADDRESS(B18*2+2,3)))</f>
        <v>Туртурика Светлана</v>
      </c>
      <c r="D18" s="75"/>
      <c r="E18" s="76"/>
      <c r="F18" s="26">
        <v>13</v>
      </c>
      <c r="G18" s="27">
        <v>6</v>
      </c>
      <c r="H18" s="77" t="str">
        <f ca="1">IF(ISBLANK(INDIRECT(ADDRESS(K18*2+2,3))),"",INDIRECT(ADDRESS(K18*2+2,3)))</f>
        <v>Никандрова Юлия</v>
      </c>
      <c r="I18" s="75"/>
      <c r="J18" s="75"/>
      <c r="K18" s="25">
        <v>5</v>
      </c>
      <c r="L18" s="28" t="s">
        <v>6</v>
      </c>
      <c r="M18" s="34"/>
    </row>
    <row r="19" spans="2:13" ht="30" customHeight="1" thickBot="1" x14ac:dyDescent="0.3">
      <c r="B19" s="25">
        <v>3</v>
      </c>
      <c r="C19" s="75" t="str">
        <f ca="1">IF(ISBLANK(INDIRECT(ADDRESS(B19*2+2,3))),"",INDIRECT(ADDRESS(B19*2+2,3)))</f>
        <v>Курбанова Маргарита</v>
      </c>
      <c r="D19" s="75"/>
      <c r="E19" s="76"/>
      <c r="F19" s="26">
        <v>11</v>
      </c>
      <c r="G19" s="27">
        <v>8</v>
      </c>
      <c r="H19" s="77" t="str">
        <f ca="1">IF(ISBLANK(INDIRECT(ADDRESS(K19*2+2,3))),"",INDIRECT(ADDRESS(K19*2+2,3)))</f>
        <v>Петрушко Юлия</v>
      </c>
      <c r="I19" s="75"/>
      <c r="J19" s="75"/>
      <c r="K19" s="25">
        <v>4</v>
      </c>
      <c r="L19" s="28" t="s">
        <v>6</v>
      </c>
      <c r="M19" s="34"/>
    </row>
    <row r="20" spans="2:13" ht="30" customHeight="1" x14ac:dyDescent="0.25">
      <c r="M20" s="6"/>
    </row>
    <row r="21" spans="2:13" ht="30" customHeight="1" thickBot="1" x14ac:dyDescent="0.3">
      <c r="B21" s="78" t="s">
        <v>7</v>
      </c>
      <c r="C21" s="78"/>
      <c r="D21" s="78"/>
      <c r="E21" s="78"/>
      <c r="F21" s="78"/>
      <c r="G21" s="78"/>
      <c r="H21" s="78"/>
      <c r="I21" s="78"/>
      <c r="J21" s="78"/>
      <c r="K21" s="78"/>
      <c r="M21" s="6"/>
    </row>
    <row r="22" spans="2:13" ht="30" customHeight="1" thickBot="1" x14ac:dyDescent="0.3">
      <c r="B22" s="25">
        <v>5</v>
      </c>
      <c r="C22" s="75" t="str">
        <f ca="1">IF(ISBLANK(INDIRECT(ADDRESS(B22*2+2,3))),"",INDIRECT(ADDRESS(B22*2+2,3)))</f>
        <v>Никандрова Юлия</v>
      </c>
      <c r="D22" s="75"/>
      <c r="E22" s="76"/>
      <c r="F22" s="26">
        <v>6</v>
      </c>
      <c r="G22" s="27">
        <v>11</v>
      </c>
      <c r="H22" s="77" t="str">
        <f ca="1">IF(ISBLANK(INDIRECT(ADDRESS(K22*2+2,3))),"",INDIRECT(ADDRESS(K22*2+2,3)))</f>
        <v>Курбанова Маргарита</v>
      </c>
      <c r="I22" s="75"/>
      <c r="J22" s="75"/>
      <c r="K22" s="25">
        <v>3</v>
      </c>
      <c r="L22" s="28" t="s">
        <v>6</v>
      </c>
      <c r="M22" s="34"/>
    </row>
    <row r="23" spans="2:13" ht="30" customHeight="1" thickBot="1" x14ac:dyDescent="0.3">
      <c r="B23" s="25">
        <v>1</v>
      </c>
      <c r="C23" s="75" t="str">
        <f ca="1">IF(ISBLANK(INDIRECT(ADDRESS(B23*2+2,3))),"",INDIRECT(ADDRESS(B23*2+2,3)))</f>
        <v>Комарова Елена</v>
      </c>
      <c r="D23" s="75"/>
      <c r="E23" s="76"/>
      <c r="F23" s="26">
        <v>13</v>
      </c>
      <c r="G23" s="27">
        <v>5</v>
      </c>
      <c r="H23" s="77" t="str">
        <f ca="1">IF(ISBLANK(INDIRECT(ADDRESS(K23*2+2,3))),"",INDIRECT(ADDRESS(K23*2+2,3)))</f>
        <v>Туртурика Светлана</v>
      </c>
      <c r="I23" s="75"/>
      <c r="J23" s="75"/>
      <c r="K23" s="25">
        <v>2</v>
      </c>
      <c r="L23" s="28" t="s">
        <v>6</v>
      </c>
      <c r="M23" s="34"/>
    </row>
    <row r="24" spans="2:13" ht="30" customHeight="1" x14ac:dyDescent="0.25">
      <c r="M24" s="6"/>
    </row>
    <row r="25" spans="2:13" ht="30" customHeight="1" thickBot="1" x14ac:dyDescent="0.3">
      <c r="B25" s="78" t="s">
        <v>8</v>
      </c>
      <c r="C25" s="78"/>
      <c r="D25" s="78"/>
      <c r="E25" s="78"/>
      <c r="F25" s="78"/>
      <c r="G25" s="78"/>
      <c r="H25" s="78"/>
      <c r="I25" s="78"/>
      <c r="J25" s="78"/>
      <c r="K25" s="78"/>
      <c r="M25" s="6"/>
    </row>
    <row r="26" spans="2:13" ht="30" customHeight="1" thickBot="1" x14ac:dyDescent="0.3">
      <c r="B26" s="25">
        <v>3</v>
      </c>
      <c r="C26" s="75" t="str">
        <f ca="1">IF(ISBLANK(INDIRECT(ADDRESS(B26*2+2,3))),"",INDIRECT(ADDRESS(B26*2+2,3)))</f>
        <v>Курбанова Маргарита</v>
      </c>
      <c r="D26" s="75"/>
      <c r="E26" s="76"/>
      <c r="F26" s="26">
        <v>11</v>
      </c>
      <c r="G26" s="27">
        <v>12</v>
      </c>
      <c r="H26" s="77" t="str">
        <f ca="1">IF(ISBLANK(INDIRECT(ADDRESS(K26*2+2,3))),"",INDIRECT(ADDRESS(K26*2+2,3)))</f>
        <v>Комарова Елена</v>
      </c>
      <c r="I26" s="75"/>
      <c r="J26" s="75"/>
      <c r="K26" s="25">
        <v>1</v>
      </c>
      <c r="L26" s="28" t="s">
        <v>6</v>
      </c>
      <c r="M26" s="34"/>
    </row>
    <row r="27" spans="2:13" ht="30" customHeight="1" thickBot="1" x14ac:dyDescent="0.3">
      <c r="B27" s="25">
        <v>4</v>
      </c>
      <c r="C27" s="75" t="str">
        <f ca="1">IF(ISBLANK(INDIRECT(ADDRESS(B27*2+2,3))),"",INDIRECT(ADDRESS(B27*2+2,3)))</f>
        <v>Петрушко Юлия</v>
      </c>
      <c r="D27" s="75"/>
      <c r="E27" s="76"/>
      <c r="F27" s="26">
        <v>2</v>
      </c>
      <c r="G27" s="27">
        <v>13</v>
      </c>
      <c r="H27" s="77" t="str">
        <f ca="1">IF(ISBLANK(INDIRECT(ADDRESS(K27*2+2,3))),"",INDIRECT(ADDRESS(K27*2+2,3)))</f>
        <v>Никандрова Юлия</v>
      </c>
      <c r="I27" s="75"/>
      <c r="J27" s="75"/>
      <c r="K27" s="25">
        <v>5</v>
      </c>
      <c r="L27" s="28" t="s">
        <v>6</v>
      </c>
      <c r="M27" s="34"/>
    </row>
    <row r="28" spans="2:13" ht="30" customHeight="1" x14ac:dyDescent="0.25">
      <c r="M28" s="6"/>
    </row>
    <row r="29" spans="2:13" ht="30" customHeight="1" thickBot="1" x14ac:dyDescent="0.3">
      <c r="B29" s="78" t="s">
        <v>9</v>
      </c>
      <c r="C29" s="78"/>
      <c r="D29" s="78"/>
      <c r="E29" s="78"/>
      <c r="F29" s="78"/>
      <c r="G29" s="78"/>
      <c r="H29" s="78"/>
      <c r="I29" s="78"/>
      <c r="J29" s="78"/>
      <c r="K29" s="78"/>
      <c r="M29" s="6"/>
    </row>
    <row r="30" spans="2:13" ht="30" customHeight="1" thickBot="1" x14ac:dyDescent="0.3">
      <c r="B30" s="25">
        <v>1</v>
      </c>
      <c r="C30" s="75" t="str">
        <f ca="1">IF(ISBLANK(INDIRECT(ADDRESS(B30*2+2,3))),"",INDIRECT(ADDRESS(B30*2+2,3)))</f>
        <v>Комарова Елена</v>
      </c>
      <c r="D30" s="75"/>
      <c r="E30" s="76"/>
      <c r="F30" s="26">
        <v>13</v>
      </c>
      <c r="G30" s="27">
        <v>5</v>
      </c>
      <c r="H30" s="77" t="str">
        <f ca="1">IF(ISBLANK(INDIRECT(ADDRESS(K30*2+2,3))),"",INDIRECT(ADDRESS(K30*2+2,3)))</f>
        <v>Петрушко Юлия</v>
      </c>
      <c r="I30" s="75"/>
      <c r="J30" s="75"/>
      <c r="K30" s="25">
        <v>4</v>
      </c>
      <c r="L30" s="28" t="s">
        <v>6</v>
      </c>
      <c r="M30" s="34"/>
    </row>
    <row r="31" spans="2:13" ht="30" customHeight="1" thickBot="1" x14ac:dyDescent="0.3">
      <c r="B31" s="25">
        <v>2</v>
      </c>
      <c r="C31" s="75" t="str">
        <f ca="1">IF(ISBLANK(INDIRECT(ADDRESS(B31*2+2,3))),"",INDIRECT(ADDRESS(B31*2+2,3)))</f>
        <v>Туртурика Светлана</v>
      </c>
      <c r="D31" s="75"/>
      <c r="E31" s="76"/>
      <c r="F31" s="26">
        <v>12</v>
      </c>
      <c r="G31" s="27">
        <v>9</v>
      </c>
      <c r="H31" s="77" t="str">
        <f ca="1">IF(ISBLANK(INDIRECT(ADDRESS(K31*2+2,3))),"",INDIRECT(ADDRESS(K31*2+2,3)))</f>
        <v>Курбанова Маргарита</v>
      </c>
      <c r="I31" s="75"/>
      <c r="J31" s="75"/>
      <c r="K31" s="25">
        <v>3</v>
      </c>
      <c r="L31" s="28" t="s">
        <v>6</v>
      </c>
      <c r="M31" s="34"/>
    </row>
    <row r="32" spans="2:13" ht="30" customHeight="1" x14ac:dyDescent="0.25">
      <c r="M32" s="6"/>
    </row>
    <row r="33" spans="2:13" ht="30" customHeight="1" thickBot="1" x14ac:dyDescent="0.3">
      <c r="B33" s="78" t="s">
        <v>10</v>
      </c>
      <c r="C33" s="78"/>
      <c r="D33" s="78"/>
      <c r="E33" s="78"/>
      <c r="F33" s="78"/>
      <c r="G33" s="78"/>
      <c r="H33" s="78"/>
      <c r="I33" s="78"/>
      <c r="J33" s="78"/>
      <c r="K33" s="78"/>
      <c r="M33" s="6"/>
    </row>
    <row r="34" spans="2:13" ht="30" customHeight="1" thickBot="1" x14ac:dyDescent="0.3">
      <c r="B34" s="25">
        <v>4</v>
      </c>
      <c r="C34" s="75" t="str">
        <f ca="1">IF(ISBLANK(INDIRECT(ADDRESS(B34*2+2,3))),"",INDIRECT(ADDRESS(B34*2+2,3)))</f>
        <v>Петрушко Юлия</v>
      </c>
      <c r="D34" s="75"/>
      <c r="E34" s="76"/>
      <c r="F34" s="26">
        <v>13</v>
      </c>
      <c r="G34" s="27">
        <v>5</v>
      </c>
      <c r="H34" s="77" t="str">
        <f ca="1">IF(ISBLANK(INDIRECT(ADDRESS(K34*2+2,3))),"",INDIRECT(ADDRESS(K34*2+2,3)))</f>
        <v>Туртурика Светлана</v>
      </c>
      <c r="I34" s="75"/>
      <c r="J34" s="75"/>
      <c r="K34" s="25">
        <v>2</v>
      </c>
      <c r="L34" s="28" t="s">
        <v>6</v>
      </c>
      <c r="M34" s="34"/>
    </row>
    <row r="35" spans="2:13" ht="30" customHeight="1" thickBot="1" x14ac:dyDescent="0.3">
      <c r="B35" s="25">
        <v>5</v>
      </c>
      <c r="C35" s="75" t="str">
        <f ca="1">IF(ISBLANK(INDIRECT(ADDRESS(B35*2+2,3))),"",INDIRECT(ADDRESS(B35*2+2,3)))</f>
        <v>Никандрова Юлия</v>
      </c>
      <c r="D35" s="75"/>
      <c r="E35" s="76"/>
      <c r="F35" s="26">
        <v>3</v>
      </c>
      <c r="G35" s="27">
        <v>13</v>
      </c>
      <c r="H35" s="77" t="str">
        <f ca="1">IF(ISBLANK(INDIRECT(ADDRESS(K35*2+2,3))),"",INDIRECT(ADDRESS(K35*2+2,3)))</f>
        <v>Комарова Елена</v>
      </c>
      <c r="I35" s="75"/>
      <c r="J35" s="75"/>
      <c r="K35" s="25">
        <v>1</v>
      </c>
      <c r="L35" s="28" t="s">
        <v>6</v>
      </c>
      <c r="M35" s="34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4" sqref="C4:E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59.25" customHeight="1" x14ac:dyDescent="0.25">
      <c r="B1" s="97" t="s">
        <v>111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3" ht="15.75" thickBot="1" x14ac:dyDescent="0.3">
      <c r="M2"/>
    </row>
    <row r="3" spans="1:13" ht="30" customHeight="1" thickBot="1" x14ac:dyDescent="0.3">
      <c r="A3" s="6"/>
      <c r="B3" s="7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7" t="s">
        <v>1</v>
      </c>
      <c r="L3" s="2" t="s">
        <v>2</v>
      </c>
      <c r="M3" s="32" t="s">
        <v>3</v>
      </c>
    </row>
    <row r="4" spans="1:13" ht="24" customHeight="1" x14ac:dyDescent="0.25">
      <c r="A4" s="6"/>
      <c r="B4" s="101">
        <v>1</v>
      </c>
      <c r="C4" s="109" t="s">
        <v>130</v>
      </c>
      <c r="D4" s="110"/>
      <c r="E4" s="111"/>
      <c r="F4" s="8" t="s">
        <v>4</v>
      </c>
      <c r="G4" s="9" t="str">
        <f ca="1">INDIRECT(ADDRESS(23,6))&amp;":"&amp;INDIRECT(ADDRESS(23,7))</f>
        <v>13:6</v>
      </c>
      <c r="H4" s="9" t="str">
        <f ca="1">INDIRECT(ADDRESS(26,7))&amp;":"&amp;INDIRECT(ADDRESS(26,6))</f>
        <v>3:13</v>
      </c>
      <c r="I4" s="9" t="str">
        <f ca="1">INDIRECT(ADDRESS(30,6))&amp;":"&amp;INDIRECT(ADDRESS(30,7))</f>
        <v>13:3</v>
      </c>
      <c r="J4" s="10" t="str">
        <f ca="1">INDIRECT(ADDRESS(35,7))&amp;":"&amp;INDIRECT(ADDRESS(35,6))</f>
        <v>13:10</v>
      </c>
      <c r="K4" s="123">
        <f ca="1">IF(COUNT(F5:J5)=0,"",COUNTIF(F5:J5,"&gt;0")+0.5*COUNTIF(F5:J5,0))</f>
        <v>3</v>
      </c>
      <c r="L4" s="11"/>
      <c r="M4" s="122">
        <v>2</v>
      </c>
    </row>
    <row r="5" spans="1:13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COLUMN())))=1,"",INDIRECT(ADDRESS(23,6))-INDIRECT(ADDRESS(23,7)))</f>
        <v>7</v>
      </c>
      <c r="H5" s="13">
        <f ca="1">IF(LEN(INDIRECT(ADDRESS(ROW()-1, COLUMN())))=1,"",INDIRECT(ADDRESS(26,7))-INDIRECT(ADDRESS(26,6)))</f>
        <v>-10</v>
      </c>
      <c r="I5" s="13">
        <f ca="1">IF(LEN(INDIRECT(ADDRESS(ROW()-1, COLUMN())))=1,"",INDIRECT(ADDRESS(30,6))-INDIRECT(ADDRESS(30,7)))</f>
        <v>10</v>
      </c>
      <c r="J5" s="14">
        <f ca="1">IF(LEN(INDIRECT(ADDRESS(ROW()-1, COLUMN())))=1,"",INDIRECT(ADDRESS(35,7))-INDIRECT(ADDRESS(35,6)))</f>
        <v>3</v>
      </c>
      <c r="K5" s="112"/>
      <c r="L5" s="13">
        <f ca="1">IF(COUNT(F5:J5)=0,"",SUM(F5:J5))</f>
        <v>10</v>
      </c>
      <c r="M5" s="120"/>
    </row>
    <row r="6" spans="1:13" ht="24" customHeight="1" x14ac:dyDescent="0.25">
      <c r="A6" s="6"/>
      <c r="B6" s="79">
        <v>2</v>
      </c>
      <c r="C6" s="81" t="s">
        <v>131</v>
      </c>
      <c r="D6" s="82"/>
      <c r="E6" s="83"/>
      <c r="F6" s="15" t="str">
        <f ca="1">INDIRECT(ADDRESS(23,7))&amp;":"&amp;INDIRECT(ADDRESS(23,6))</f>
        <v>6:13</v>
      </c>
      <c r="G6" s="16" t="s">
        <v>4</v>
      </c>
      <c r="H6" s="17" t="str">
        <f ca="1">INDIRECT(ADDRESS(31,6))&amp;":"&amp;INDIRECT(ADDRESS(31,7))</f>
        <v>3:13</v>
      </c>
      <c r="I6" s="17" t="str">
        <f ca="1">INDIRECT(ADDRESS(34,7))&amp;":"&amp;INDIRECT(ADDRESS(34,6))</f>
        <v>13:5</v>
      </c>
      <c r="J6" s="18" t="str">
        <f ca="1">INDIRECT(ADDRESS(18,6))&amp;":"&amp;INDIRECT(ADDRESS(18,7))</f>
        <v>11:13</v>
      </c>
      <c r="K6" s="112">
        <f ca="1">IF(COUNT(F7:J7)=0,"",COUNTIF(F7:J7,"&gt;0")+0.5*COUNTIF(F7:J7,0))</f>
        <v>1</v>
      </c>
      <c r="L6" s="13"/>
      <c r="M6" s="120">
        <v>4</v>
      </c>
    </row>
    <row r="7" spans="1:13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COLUMN())))=1,"",INDIRECT(ADDRESS(23,7))-INDIRECT(ADDRESS(23,6)))</f>
        <v>-7</v>
      </c>
      <c r="G7" s="20" t="s">
        <v>4</v>
      </c>
      <c r="H7" s="13">
        <f ca="1">IF(LEN(INDIRECT(ADDRESS(ROW()-1, COLUMN())))=1,"",INDIRECT(ADDRESS(31,6))-INDIRECT(ADDRESS(31,7)))</f>
        <v>-10</v>
      </c>
      <c r="I7" s="13">
        <f ca="1">IF(LEN(INDIRECT(ADDRESS(ROW()-1, COLUMN())))=1,"",INDIRECT(ADDRESS(34,7))-INDIRECT(ADDRESS(34,6)))</f>
        <v>8</v>
      </c>
      <c r="J7" s="14">
        <f ca="1">IF(LEN(INDIRECT(ADDRESS(ROW()-1, COLUMN())))=1,"",INDIRECT(ADDRESS(18,6))-INDIRECT(ADDRESS(18,7)))</f>
        <v>-2</v>
      </c>
      <c r="K7" s="112"/>
      <c r="L7" s="13">
        <f ca="1">IF(COUNT(F7:J7)=0,"",SUM(F7:J7))</f>
        <v>-11</v>
      </c>
      <c r="M7" s="120"/>
    </row>
    <row r="8" spans="1:13" ht="24" customHeight="1" x14ac:dyDescent="0.25">
      <c r="A8" s="6"/>
      <c r="B8" s="79">
        <v>3</v>
      </c>
      <c r="C8" s="93" t="s">
        <v>132</v>
      </c>
      <c r="D8" s="94"/>
      <c r="E8" s="95"/>
      <c r="F8" s="15" t="str">
        <f ca="1">INDIRECT(ADDRESS(26,6))&amp;":"&amp;INDIRECT(ADDRESS(26,7))</f>
        <v>13:3</v>
      </c>
      <c r="G8" s="17" t="str">
        <f ca="1">INDIRECT(ADDRESS(31,7))&amp;":"&amp;INDIRECT(ADDRESS(31,6))</f>
        <v>13:3</v>
      </c>
      <c r="H8" s="16" t="s">
        <v>4</v>
      </c>
      <c r="I8" s="17" t="str">
        <f ca="1">INDIRECT(ADDRESS(19,6))&amp;":"&amp;INDIRECT(ADDRESS(19,7))</f>
        <v>8:13</v>
      </c>
      <c r="J8" s="18" t="str">
        <f ca="1">INDIRECT(ADDRESS(22,7))&amp;":"&amp;INDIRECT(ADDRESS(22,6))</f>
        <v>13:9</v>
      </c>
      <c r="K8" s="112">
        <f ca="1">IF(COUNT(F9:J9)=0,"",COUNTIF(F9:J9,"&gt;0")+0.5*COUNTIF(F9:J9,0))</f>
        <v>3</v>
      </c>
      <c r="L8" s="13"/>
      <c r="M8" s="120">
        <v>1</v>
      </c>
    </row>
    <row r="9" spans="1:13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COLUMN())))=1,"",INDIRECT(ADDRESS(26,6))-INDIRECT(ADDRESS(26,7)))</f>
        <v>10</v>
      </c>
      <c r="G9" s="13">
        <f ca="1">IF(LEN(INDIRECT(ADDRESS(ROW()-1, COLUMN())))=1,"",INDIRECT(ADDRESS(31,7))-INDIRECT(ADDRESS(31,6)))</f>
        <v>10</v>
      </c>
      <c r="H9" s="20" t="s">
        <v>4</v>
      </c>
      <c r="I9" s="13">
        <f ca="1">IF(LEN(INDIRECT(ADDRESS(ROW()-1, COLUMN())))=1,"",INDIRECT(ADDRESS(19,6))-INDIRECT(ADDRESS(19,7)))</f>
        <v>-5</v>
      </c>
      <c r="J9" s="14">
        <f ca="1">IF(LEN(INDIRECT(ADDRESS(ROW()-1, COLUMN())))=1,"",INDIRECT(ADDRESS(22,7))-INDIRECT(ADDRESS(22,6)))</f>
        <v>4</v>
      </c>
      <c r="K9" s="112"/>
      <c r="L9" s="13">
        <f ca="1">IF(COUNT(F9:J9)=0,"",SUM(F9:J9))</f>
        <v>19</v>
      </c>
      <c r="M9" s="120"/>
    </row>
    <row r="10" spans="1:13" ht="24" customHeight="1" x14ac:dyDescent="0.25">
      <c r="A10" s="6"/>
      <c r="B10" s="79">
        <v>4</v>
      </c>
      <c r="C10" s="81" t="s">
        <v>133</v>
      </c>
      <c r="D10" s="82"/>
      <c r="E10" s="83"/>
      <c r="F10" s="15" t="str">
        <f ca="1">INDIRECT(ADDRESS(30,7))&amp;":"&amp;INDIRECT(ADDRESS(30,6))</f>
        <v>3:13</v>
      </c>
      <c r="G10" s="17" t="str">
        <f ca="1">INDIRECT(ADDRESS(34,6))&amp;":"&amp;INDIRECT(ADDRESS(34,7))</f>
        <v>5:13</v>
      </c>
      <c r="H10" s="17" t="str">
        <f ca="1">INDIRECT(ADDRESS(19,7))&amp;":"&amp;INDIRECT(ADDRESS(19,6))</f>
        <v>13:8</v>
      </c>
      <c r="I10" s="16" t="s">
        <v>4</v>
      </c>
      <c r="J10" s="18" t="str">
        <f ca="1">INDIRECT(ADDRESS(27,6))&amp;":"&amp;INDIRECT(ADDRESS(27,7))</f>
        <v>9:13</v>
      </c>
      <c r="K10" s="112">
        <f ca="1">IF(COUNT(F11:J11)=0,"",COUNTIF(F11:J11,"&gt;0")+0.5*COUNTIF(F11:J11,0))</f>
        <v>1</v>
      </c>
      <c r="L10" s="13"/>
      <c r="M10" s="120">
        <v>5</v>
      </c>
    </row>
    <row r="11" spans="1:13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COLUMN())))=1,"",INDIRECT(ADDRESS(30,7))-INDIRECT(ADDRESS(30,6)))</f>
        <v>-10</v>
      </c>
      <c r="G11" s="13">
        <f ca="1">IF(LEN(INDIRECT(ADDRESS(ROW()-1, COLUMN())))=1,"",INDIRECT(ADDRESS(34,6))-INDIRECT(ADDRESS(34,7)))</f>
        <v>-8</v>
      </c>
      <c r="H11" s="13">
        <f ca="1">IF(LEN(INDIRECT(ADDRESS(ROW()-1, COLUMN())))=1,"",INDIRECT(ADDRESS(19,7))-INDIRECT(ADDRESS(19,6)))</f>
        <v>5</v>
      </c>
      <c r="I11" s="20" t="s">
        <v>4</v>
      </c>
      <c r="J11" s="14">
        <f ca="1">IF(LEN(INDIRECT(ADDRESS(ROW()-1, COLUMN())))=1,"",INDIRECT(ADDRESS(27,6))-INDIRECT(ADDRESS(27,7)))</f>
        <v>-4</v>
      </c>
      <c r="K11" s="112"/>
      <c r="L11" s="13">
        <f ca="1">IF(COUNT(F11:J11)=0,"",SUM(F11:J11))</f>
        <v>-17</v>
      </c>
      <c r="M11" s="120"/>
    </row>
    <row r="12" spans="1:13" ht="24" customHeight="1" x14ac:dyDescent="0.25">
      <c r="A12" s="6"/>
      <c r="B12" s="79">
        <v>5</v>
      </c>
      <c r="C12" s="81" t="s">
        <v>134</v>
      </c>
      <c r="D12" s="82"/>
      <c r="E12" s="83"/>
      <c r="F12" s="15" t="str">
        <f ca="1">INDIRECT(ADDRESS(35,6))&amp;":"&amp;INDIRECT(ADDRESS(35,7))</f>
        <v>10:13</v>
      </c>
      <c r="G12" s="17" t="str">
        <f ca="1">INDIRECT(ADDRESS(18,7))&amp;":"&amp;INDIRECT(ADDRESS(18,6))</f>
        <v>13:11</v>
      </c>
      <c r="H12" s="17" t="str">
        <f ca="1">INDIRECT(ADDRESS(22,6))&amp;":"&amp;INDIRECT(ADDRESS(22,7))</f>
        <v>9:13</v>
      </c>
      <c r="I12" s="17" t="str">
        <f ca="1">INDIRECT(ADDRESS(27,7))&amp;":"&amp;INDIRECT(ADDRESS(27,6))</f>
        <v>13:9</v>
      </c>
      <c r="J12" s="21" t="s">
        <v>4</v>
      </c>
      <c r="K12" s="112">
        <f ca="1">IF(COUNT(F13:J13)=0,"",COUNTIF(F13:J13,"&gt;0")+0.5*COUNTIF(F13:J13,0))</f>
        <v>2</v>
      </c>
      <c r="L12" s="13"/>
      <c r="M12" s="120">
        <v>3</v>
      </c>
    </row>
    <row r="13" spans="1:13" ht="24" customHeight="1" thickBot="1" x14ac:dyDescent="0.3">
      <c r="A13" s="6"/>
      <c r="B13" s="80"/>
      <c r="C13" s="84"/>
      <c r="D13" s="85"/>
      <c r="E13" s="86"/>
      <c r="F13" s="22">
        <f ca="1">IF(LEN(INDIRECT(ADDRESS(ROW()-1, COLUMN())))=1,"",INDIRECT(ADDRESS(35,6))-INDIRECT(ADDRESS(35,7)))</f>
        <v>-3</v>
      </c>
      <c r="G13" s="23">
        <f ca="1">IF(LEN(INDIRECT(ADDRESS(ROW()-1, COLUMN())))=1,"",INDIRECT(ADDRESS(18,7))-INDIRECT(ADDRESS(18,6)))</f>
        <v>2</v>
      </c>
      <c r="H13" s="23">
        <f ca="1">IF(LEN(INDIRECT(ADDRESS(ROW()-1, COLUMN())))=1,"",INDIRECT(ADDRESS(22,6))-INDIRECT(ADDRESS(22,7)))</f>
        <v>-4</v>
      </c>
      <c r="I13" s="23">
        <f ca="1">IF(LEN(INDIRECT(ADDRESS(ROW()-1, COLUMN())))=1,"",INDIRECT(ADDRESS(27,7))-INDIRECT(ADDRESS(27,6)))</f>
        <v>4</v>
      </c>
      <c r="J13" s="24" t="s">
        <v>4</v>
      </c>
      <c r="K13" s="117"/>
      <c r="L13" s="23">
        <f ca="1">IF(COUNT(F13:J13)=0,"",SUM(F13:J13))</f>
        <v>-1</v>
      </c>
      <c r="M13" s="12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30" customHeight="1" thickBot="1" x14ac:dyDescent="0.3">
      <c r="B17" s="78" t="s">
        <v>5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3" ht="30" customHeight="1" thickBot="1" x14ac:dyDescent="0.3">
      <c r="B18" s="25">
        <v>2</v>
      </c>
      <c r="C18" s="75" t="str">
        <f ca="1">IF(ISBLANK(INDIRECT(ADDRESS(B18*2+2,3))),"",INDIRECT(ADDRESS(B18*2+2,3)))</f>
        <v>Канзари Татьяна</v>
      </c>
      <c r="D18" s="75"/>
      <c r="E18" s="76"/>
      <c r="F18" s="26">
        <v>11</v>
      </c>
      <c r="G18" s="27">
        <v>13</v>
      </c>
      <c r="H18" s="77" t="str">
        <f ca="1">IF(ISBLANK(INDIRECT(ADDRESS(K18*2+2,3))),"",INDIRECT(ADDRESS(K18*2+2,3)))</f>
        <v>Борисова Лилия</v>
      </c>
      <c r="I18" s="75"/>
      <c r="J18" s="75"/>
      <c r="K18" s="25">
        <v>5</v>
      </c>
      <c r="L18" s="28" t="s">
        <v>6</v>
      </c>
      <c r="M18" s="34">
        <v>1</v>
      </c>
    </row>
    <row r="19" spans="2:13" ht="30" customHeight="1" thickBot="1" x14ac:dyDescent="0.3">
      <c r="B19" s="25">
        <v>3</v>
      </c>
      <c r="C19" s="75" t="str">
        <f ca="1">IF(ISBLANK(INDIRECT(ADDRESS(B19*2+2,3))),"",INDIRECT(ADDRESS(B19*2+2,3)))</f>
        <v>Артюхина Елена</v>
      </c>
      <c r="D19" s="75"/>
      <c r="E19" s="76"/>
      <c r="F19" s="26">
        <v>8</v>
      </c>
      <c r="G19" s="27">
        <v>13</v>
      </c>
      <c r="H19" s="77" t="str">
        <f ca="1">IF(ISBLANK(INDIRECT(ADDRESS(K19*2+2,3))),"",INDIRECT(ADDRESS(K19*2+2,3)))</f>
        <v>Зубова Наталья</v>
      </c>
      <c r="I19" s="75"/>
      <c r="J19" s="75"/>
      <c r="K19" s="25">
        <v>4</v>
      </c>
      <c r="L19" s="28" t="s">
        <v>6</v>
      </c>
      <c r="M19" s="34">
        <v>3</v>
      </c>
    </row>
    <row r="20" spans="2:13" ht="30" customHeight="1" x14ac:dyDescent="0.25">
      <c r="M20" s="6"/>
    </row>
    <row r="21" spans="2:13" ht="30" customHeight="1" thickBot="1" x14ac:dyDescent="0.3">
      <c r="B21" s="78" t="s">
        <v>7</v>
      </c>
      <c r="C21" s="78"/>
      <c r="D21" s="78"/>
      <c r="E21" s="78"/>
      <c r="F21" s="78"/>
      <c r="G21" s="78"/>
      <c r="H21" s="78"/>
      <c r="I21" s="78"/>
      <c r="J21" s="78"/>
      <c r="K21" s="78"/>
      <c r="M21" s="6"/>
    </row>
    <row r="22" spans="2:13" ht="30" customHeight="1" thickBot="1" x14ac:dyDescent="0.3">
      <c r="B22" s="25">
        <v>5</v>
      </c>
      <c r="C22" s="75" t="str">
        <f ca="1">IF(ISBLANK(INDIRECT(ADDRESS(B22*2+2,3))),"",INDIRECT(ADDRESS(B22*2+2,3)))</f>
        <v>Борисова Лилия</v>
      </c>
      <c r="D22" s="75"/>
      <c r="E22" s="76"/>
      <c r="F22" s="26">
        <v>9</v>
      </c>
      <c r="G22" s="27">
        <v>13</v>
      </c>
      <c r="H22" s="77" t="str">
        <f ca="1">IF(ISBLANK(INDIRECT(ADDRESS(K22*2+2,3))),"",INDIRECT(ADDRESS(K22*2+2,3)))</f>
        <v>Артюхина Елена</v>
      </c>
      <c r="I22" s="75"/>
      <c r="J22" s="75"/>
      <c r="K22" s="25">
        <v>3</v>
      </c>
      <c r="L22" s="28" t="s">
        <v>6</v>
      </c>
      <c r="M22" s="34">
        <v>4</v>
      </c>
    </row>
    <row r="23" spans="2:13" ht="30" customHeight="1" thickBot="1" x14ac:dyDescent="0.3">
      <c r="B23" s="25">
        <v>1</v>
      </c>
      <c r="C23" s="75" t="str">
        <f ca="1">IF(ISBLANK(INDIRECT(ADDRESS(B23*2+2,3))),"",INDIRECT(ADDRESS(B23*2+2,3)))</f>
        <v>Тюрина Елена</v>
      </c>
      <c r="D23" s="75"/>
      <c r="E23" s="76"/>
      <c r="F23" s="26">
        <v>13</v>
      </c>
      <c r="G23" s="27">
        <v>6</v>
      </c>
      <c r="H23" s="77" t="str">
        <f ca="1">IF(ISBLANK(INDIRECT(ADDRESS(K23*2+2,3))),"",INDIRECT(ADDRESS(K23*2+2,3)))</f>
        <v>Канзари Татьяна</v>
      </c>
      <c r="I23" s="75"/>
      <c r="J23" s="75"/>
      <c r="K23" s="25">
        <v>2</v>
      </c>
      <c r="L23" s="28" t="s">
        <v>6</v>
      </c>
      <c r="M23" s="34">
        <v>6</v>
      </c>
    </row>
    <row r="24" spans="2:13" ht="30" customHeight="1" x14ac:dyDescent="0.25">
      <c r="M24" s="6"/>
    </row>
    <row r="25" spans="2:13" ht="30" customHeight="1" thickBot="1" x14ac:dyDescent="0.3">
      <c r="B25" s="78" t="s">
        <v>8</v>
      </c>
      <c r="C25" s="78"/>
      <c r="D25" s="78"/>
      <c r="E25" s="78"/>
      <c r="F25" s="78"/>
      <c r="G25" s="78"/>
      <c r="H25" s="78"/>
      <c r="I25" s="78"/>
      <c r="J25" s="78"/>
      <c r="K25" s="78"/>
      <c r="M25" s="6"/>
    </row>
    <row r="26" spans="2:13" ht="30" customHeight="1" thickBot="1" x14ac:dyDescent="0.3">
      <c r="B26" s="25">
        <v>3</v>
      </c>
      <c r="C26" s="75" t="str">
        <f ca="1">IF(ISBLANK(INDIRECT(ADDRESS(B26*2+2,3))),"",INDIRECT(ADDRESS(B26*2+2,3)))</f>
        <v>Артюхина Елена</v>
      </c>
      <c r="D26" s="75"/>
      <c r="E26" s="76"/>
      <c r="F26" s="26">
        <v>13</v>
      </c>
      <c r="G26" s="27">
        <v>3</v>
      </c>
      <c r="H26" s="77" t="str">
        <f ca="1">IF(ISBLANK(INDIRECT(ADDRESS(K26*2+2,3))),"",INDIRECT(ADDRESS(K26*2+2,3)))</f>
        <v>Тюрина Елена</v>
      </c>
      <c r="I26" s="75"/>
      <c r="J26" s="75"/>
      <c r="K26" s="25">
        <v>1</v>
      </c>
      <c r="L26" s="28" t="s">
        <v>6</v>
      </c>
      <c r="M26" s="34">
        <v>3</v>
      </c>
    </row>
    <row r="27" spans="2:13" ht="30" customHeight="1" thickBot="1" x14ac:dyDescent="0.3">
      <c r="B27" s="25">
        <v>4</v>
      </c>
      <c r="C27" s="75" t="str">
        <f ca="1">IF(ISBLANK(INDIRECT(ADDRESS(B27*2+2,3))),"",INDIRECT(ADDRESS(B27*2+2,3)))</f>
        <v>Зубова Наталья</v>
      </c>
      <c r="D27" s="75"/>
      <c r="E27" s="76"/>
      <c r="F27" s="26">
        <v>9</v>
      </c>
      <c r="G27" s="27">
        <v>13</v>
      </c>
      <c r="H27" s="77" t="str">
        <f ca="1">IF(ISBLANK(INDIRECT(ADDRESS(K27*2+2,3))),"",INDIRECT(ADDRESS(K27*2+2,3)))</f>
        <v>Борисова Лилия</v>
      </c>
      <c r="I27" s="75"/>
      <c r="J27" s="75"/>
      <c r="K27" s="25">
        <v>5</v>
      </c>
      <c r="L27" s="28" t="s">
        <v>6</v>
      </c>
      <c r="M27" s="34">
        <v>1</v>
      </c>
    </row>
    <row r="28" spans="2:13" ht="30" customHeight="1" x14ac:dyDescent="0.25">
      <c r="M28" s="6"/>
    </row>
    <row r="29" spans="2:13" ht="30" customHeight="1" thickBot="1" x14ac:dyDescent="0.3">
      <c r="B29" s="78" t="s">
        <v>9</v>
      </c>
      <c r="C29" s="78"/>
      <c r="D29" s="78"/>
      <c r="E29" s="78"/>
      <c r="F29" s="78"/>
      <c r="G29" s="78"/>
      <c r="H29" s="78"/>
      <c r="I29" s="78"/>
      <c r="J29" s="78"/>
      <c r="K29" s="78"/>
      <c r="M29" s="6"/>
    </row>
    <row r="30" spans="2:13" ht="30" customHeight="1" thickBot="1" x14ac:dyDescent="0.3">
      <c r="B30" s="25">
        <v>1</v>
      </c>
      <c r="C30" s="75" t="str">
        <f ca="1">IF(ISBLANK(INDIRECT(ADDRESS(B30*2+2,3))),"",INDIRECT(ADDRESS(B30*2+2,3)))</f>
        <v>Тюрина Елена</v>
      </c>
      <c r="D30" s="75"/>
      <c r="E30" s="76"/>
      <c r="F30" s="26">
        <v>13</v>
      </c>
      <c r="G30" s="27">
        <v>3</v>
      </c>
      <c r="H30" s="77" t="str">
        <f ca="1">IF(ISBLANK(INDIRECT(ADDRESS(K30*2+2,3))),"",INDIRECT(ADDRESS(K30*2+2,3)))</f>
        <v>Зубова Наталья</v>
      </c>
      <c r="I30" s="75"/>
      <c r="J30" s="75"/>
      <c r="K30" s="25">
        <v>4</v>
      </c>
      <c r="L30" s="28" t="s">
        <v>6</v>
      </c>
      <c r="M30" s="34">
        <v>6</v>
      </c>
    </row>
    <row r="31" spans="2:13" ht="30" customHeight="1" thickBot="1" x14ac:dyDescent="0.3">
      <c r="B31" s="25">
        <v>2</v>
      </c>
      <c r="C31" s="75" t="str">
        <f ca="1">IF(ISBLANK(INDIRECT(ADDRESS(B31*2+2,3))),"",INDIRECT(ADDRESS(B31*2+2,3)))</f>
        <v>Канзари Татьяна</v>
      </c>
      <c r="D31" s="75"/>
      <c r="E31" s="76"/>
      <c r="F31" s="26">
        <v>3</v>
      </c>
      <c r="G31" s="27">
        <v>13</v>
      </c>
      <c r="H31" s="77" t="str">
        <f ca="1">IF(ISBLANK(INDIRECT(ADDRESS(K31*2+2,3))),"",INDIRECT(ADDRESS(K31*2+2,3)))</f>
        <v>Артюхина Елена</v>
      </c>
      <c r="I31" s="75"/>
      <c r="J31" s="75"/>
      <c r="K31" s="25">
        <v>3</v>
      </c>
      <c r="L31" s="28" t="s">
        <v>6</v>
      </c>
      <c r="M31" s="34">
        <v>4</v>
      </c>
    </row>
    <row r="32" spans="2:13" ht="30" customHeight="1" x14ac:dyDescent="0.25">
      <c r="M32" s="6"/>
    </row>
    <row r="33" spans="2:13" ht="30" customHeight="1" thickBot="1" x14ac:dyDescent="0.3">
      <c r="B33" s="78" t="s">
        <v>10</v>
      </c>
      <c r="C33" s="78"/>
      <c r="D33" s="78"/>
      <c r="E33" s="78"/>
      <c r="F33" s="78"/>
      <c r="G33" s="78"/>
      <c r="H33" s="78"/>
      <c r="I33" s="78"/>
      <c r="J33" s="78"/>
      <c r="K33" s="78"/>
      <c r="M33" s="6"/>
    </row>
    <row r="34" spans="2:13" ht="30" customHeight="1" thickBot="1" x14ac:dyDescent="0.3">
      <c r="B34" s="25">
        <v>4</v>
      </c>
      <c r="C34" s="75" t="str">
        <f ca="1">IF(ISBLANK(INDIRECT(ADDRESS(B34*2+2,3))),"",INDIRECT(ADDRESS(B34*2+2,3)))</f>
        <v>Зубова Наталья</v>
      </c>
      <c r="D34" s="75"/>
      <c r="E34" s="76"/>
      <c r="F34" s="26">
        <v>5</v>
      </c>
      <c r="G34" s="27">
        <v>13</v>
      </c>
      <c r="H34" s="77" t="str">
        <f ca="1">IF(ISBLANK(INDIRECT(ADDRESS(K34*2+2,3))),"",INDIRECT(ADDRESS(K34*2+2,3)))</f>
        <v>Канзари Татьяна</v>
      </c>
      <c r="I34" s="75"/>
      <c r="J34" s="75"/>
      <c r="K34" s="25">
        <v>2</v>
      </c>
      <c r="L34" s="28" t="s">
        <v>6</v>
      </c>
      <c r="M34" s="34">
        <v>1</v>
      </c>
    </row>
    <row r="35" spans="2:13" ht="30" customHeight="1" thickBot="1" x14ac:dyDescent="0.3">
      <c r="B35" s="25">
        <v>5</v>
      </c>
      <c r="C35" s="75" t="str">
        <f ca="1">IF(ISBLANK(INDIRECT(ADDRESS(B35*2+2,3))),"",INDIRECT(ADDRESS(B35*2+2,3)))</f>
        <v>Борисова Лилия</v>
      </c>
      <c r="D35" s="75"/>
      <c r="E35" s="76"/>
      <c r="F35" s="26">
        <v>10</v>
      </c>
      <c r="G35" s="27">
        <v>13</v>
      </c>
      <c r="H35" s="77" t="str">
        <f ca="1">IF(ISBLANK(INDIRECT(ADDRESS(K35*2+2,3))),"",INDIRECT(ADDRESS(K35*2+2,3)))</f>
        <v>Тюрина Елена</v>
      </c>
      <c r="I35" s="75"/>
      <c r="J35" s="75"/>
      <c r="K35" s="25">
        <v>1</v>
      </c>
      <c r="L35" s="28" t="s">
        <v>6</v>
      </c>
      <c r="M35" s="34">
        <v>3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5" ht="59.25" customHeight="1" x14ac:dyDescent="0.25">
      <c r="B1" s="97" t="s">
        <v>109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5" ht="15.75" thickBot="1" x14ac:dyDescent="0.3">
      <c r="M2"/>
    </row>
    <row r="3" spans="1:15" ht="30" customHeight="1" thickBot="1" x14ac:dyDescent="0.3">
      <c r="B3" s="7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2">
        <v>7</v>
      </c>
      <c r="M3" s="4" t="s">
        <v>1</v>
      </c>
      <c r="N3" s="2" t="s">
        <v>2</v>
      </c>
      <c r="O3" s="5" t="s">
        <v>3</v>
      </c>
    </row>
    <row r="4" spans="1:15" ht="24" customHeight="1" x14ac:dyDescent="0.25">
      <c r="A4" s="6"/>
      <c r="B4" s="101">
        <v>1</v>
      </c>
      <c r="C4" s="102" t="s">
        <v>120</v>
      </c>
      <c r="D4" s="103"/>
      <c r="E4" s="104"/>
      <c r="F4" s="8"/>
      <c r="G4" s="9" t="str">
        <f ca="1">INDIRECT(ADDRESS(29,6))&amp;":"&amp;INDIRECT(ADDRESS(29,7))</f>
        <v>3:13</v>
      </c>
      <c r="H4" s="9" t="str">
        <f ca="1">INDIRECT(ADDRESS(32,7))&amp;":"&amp;INDIRECT(ADDRESS(32,6))</f>
        <v>5:13</v>
      </c>
      <c r="I4" s="9" t="str">
        <f ca="1">INDIRECT(ADDRESS(38,6))&amp;":"&amp;INDIRECT(ADDRESS(38,7))</f>
        <v>10:13</v>
      </c>
      <c r="J4" s="9" t="str">
        <f ca="1">INDIRECT(ADDRESS(43,7))&amp;":"&amp;INDIRECT(ADDRESS(43,6))</f>
        <v>10:13</v>
      </c>
      <c r="K4" s="42" t="str">
        <f ca="1">INDIRECT(ADDRESS(47,6))&amp;":"&amp;INDIRECT(ADDRESS(47,7))</f>
        <v>13:5</v>
      </c>
      <c r="L4" s="10" t="str">
        <f ca="1">INDIRECT(ADDRESS(54,7))&amp;":"&amp;INDIRECT(ADDRESS(54,6))</f>
        <v>13:5</v>
      </c>
      <c r="M4" s="119">
        <f ca="1">IF(COUNT(F5:L5)=0,"",COUNTIF(F5:L5,"&gt;0")+0.5*COUNTIF(F5:L5,0))</f>
        <v>2</v>
      </c>
      <c r="N4" s="11"/>
      <c r="O4" s="96">
        <v>6</v>
      </c>
    </row>
    <row r="5" spans="1:15" ht="24" customHeight="1" x14ac:dyDescent="0.25">
      <c r="A5" s="6"/>
      <c r="B5" s="91"/>
      <c r="C5" s="81"/>
      <c r="D5" s="82"/>
      <c r="E5" s="83"/>
      <c r="F5" s="12"/>
      <c r="G5" s="13">
        <f ca="1">IF(LEN(INDIRECT(ADDRESS(ROW()-1, COLUMN())))=1,"",INDIRECT(ADDRESS(29,6))-INDIRECT(ADDRESS(29,7)))</f>
        <v>-10</v>
      </c>
      <c r="H5" s="13">
        <f ca="1">IF(LEN(INDIRECT(ADDRESS(ROW()-1, COLUMN())))=1,"",INDIRECT(ADDRESS(32,7))-INDIRECT(ADDRESS(32,6)))</f>
        <v>-8</v>
      </c>
      <c r="I5" s="13">
        <f ca="1">IF(LEN(INDIRECT(ADDRESS(ROW()-1, COLUMN())))=1,"",INDIRECT(ADDRESS(38,6))-INDIRECT(ADDRESS(38,7)))</f>
        <v>-3</v>
      </c>
      <c r="J5" s="13">
        <f ca="1">IF(LEN(INDIRECT(ADDRESS(ROW()-1, COLUMN())))=1,"",INDIRECT(ADDRESS(43,7))-INDIRECT(ADDRESS(43,6)))</f>
        <v>-3</v>
      </c>
      <c r="K5" s="43">
        <f ca="1">IF(LEN(INDIRECT(ADDRESS(ROW()-1, COLUMN())))=1,"",INDIRECT(ADDRESS(47,6))-INDIRECT(ADDRESS(47,7)))</f>
        <v>8</v>
      </c>
      <c r="L5" s="14">
        <f ca="1">IF(LEN(INDIRECT(ADDRESS(ROW()-1, COLUMN())))=1,"",INDIRECT(ADDRESS(54,7))-INDIRECT(ADDRESS(54,6)))</f>
        <v>8</v>
      </c>
      <c r="M5" s="112"/>
      <c r="N5" s="13">
        <f ca="1">IF(COUNT(F5:L5)=0,"",SUM(F5:L5))</f>
        <v>-8</v>
      </c>
      <c r="O5" s="92"/>
    </row>
    <row r="6" spans="1:15" ht="24" customHeight="1" x14ac:dyDescent="0.25">
      <c r="A6" s="6"/>
      <c r="B6" s="79">
        <v>2</v>
      </c>
      <c r="C6" s="93" t="s">
        <v>121</v>
      </c>
      <c r="D6" s="94"/>
      <c r="E6" s="95"/>
      <c r="F6" s="15" t="str">
        <f ca="1">INDIRECT(ADDRESS(29,7))&amp;":"&amp;INDIRECT(ADDRESS(29,6))</f>
        <v>13:3</v>
      </c>
      <c r="G6" s="16"/>
      <c r="H6" s="17" t="str">
        <f ca="1">INDIRECT(ADDRESS(39,6))&amp;":"&amp;INDIRECT(ADDRESS(39,7))</f>
        <v>9:13</v>
      </c>
      <c r="I6" s="17" t="str">
        <f ca="1">INDIRECT(ADDRESS(42,7))&amp;":"&amp;INDIRECT(ADDRESS(42,6))</f>
        <v>7:13</v>
      </c>
      <c r="J6" s="17" t="str">
        <f ca="1">INDIRECT(ADDRESS(48,6))&amp;":"&amp;INDIRECT(ADDRESS(48,7))</f>
        <v>13:6</v>
      </c>
      <c r="K6" s="44" t="str">
        <f ca="1">INDIRECT(ADDRESS(53,7))&amp;":"&amp;INDIRECT(ADDRESS(53,6))</f>
        <v>13:11</v>
      </c>
      <c r="L6" s="18" t="str">
        <f ca="1">INDIRECT(ADDRESS(22,6))&amp;":"&amp;INDIRECT(ADDRESS(22,7))</f>
        <v>13:8</v>
      </c>
      <c r="M6" s="112">
        <f ca="1">IF(COUNT(F7:L7)=0,"",COUNTIF(F7:L7,"&gt;0")+0.5*COUNTIF(F7:L7,0))</f>
        <v>4</v>
      </c>
      <c r="N6" s="13"/>
      <c r="O6" s="89">
        <v>1</v>
      </c>
    </row>
    <row r="7" spans="1:15" ht="24" customHeight="1" x14ac:dyDescent="0.25">
      <c r="A7" s="6"/>
      <c r="B7" s="91"/>
      <c r="C7" s="93"/>
      <c r="D7" s="94"/>
      <c r="E7" s="95"/>
      <c r="F7" s="19">
        <f ca="1">IF(LEN(INDIRECT(ADDRESS(ROW()-1, COLUMN())))=1,"",INDIRECT(ADDRESS(29,7))-INDIRECT(ADDRESS(29,6)))</f>
        <v>10</v>
      </c>
      <c r="G7" s="20"/>
      <c r="H7" s="13">
        <f ca="1">IF(LEN(INDIRECT(ADDRESS(ROW()-1, COLUMN())))=1,"",INDIRECT(ADDRESS(39,6))-INDIRECT(ADDRESS(39,7)))</f>
        <v>-4</v>
      </c>
      <c r="I7" s="13">
        <f ca="1">IF(LEN(INDIRECT(ADDRESS(ROW()-1, COLUMN())))=1,"",INDIRECT(ADDRESS(42,7))-INDIRECT(ADDRESS(42,6)))</f>
        <v>-6</v>
      </c>
      <c r="J7" s="13">
        <f ca="1">IF(LEN(INDIRECT(ADDRESS(ROW()-1, COLUMN())))=1,"",INDIRECT(ADDRESS(48,6))-INDIRECT(ADDRESS(48,7)))</f>
        <v>7</v>
      </c>
      <c r="K7" s="43">
        <f ca="1">IF(LEN(INDIRECT(ADDRESS(ROW()-1, COLUMN())))=1,"",INDIRECT(ADDRESS(53,7))-INDIRECT(ADDRESS(53,6)))</f>
        <v>2</v>
      </c>
      <c r="L7" s="14">
        <f ca="1">IF(LEN(INDIRECT(ADDRESS(ROW()-1, COLUMN())))=1,"",INDIRECT(ADDRESS(22,6))-INDIRECT(ADDRESS(22,7)))</f>
        <v>5</v>
      </c>
      <c r="M7" s="112"/>
      <c r="N7" s="13">
        <f ca="1">IF(COUNT(F7:L7)=0,"",SUM(F7:L7))</f>
        <v>14</v>
      </c>
      <c r="O7" s="92"/>
    </row>
    <row r="8" spans="1:15" ht="24" customHeight="1" x14ac:dyDescent="0.25">
      <c r="A8" s="6"/>
      <c r="B8" s="79">
        <v>3</v>
      </c>
      <c r="C8" s="81" t="s">
        <v>122</v>
      </c>
      <c r="D8" s="82"/>
      <c r="E8" s="83"/>
      <c r="F8" s="15" t="str">
        <f ca="1">INDIRECT(ADDRESS(32,6))&amp;":"&amp;INDIRECT(ADDRESS(32,7))</f>
        <v>13:5</v>
      </c>
      <c r="G8" s="17" t="str">
        <f ca="1">INDIRECT(ADDRESS(39,7))&amp;":"&amp;INDIRECT(ADDRESS(39,6))</f>
        <v>13:9</v>
      </c>
      <c r="H8" s="16"/>
      <c r="I8" s="17" t="str">
        <f ca="1">INDIRECT(ADDRESS(49,6))&amp;":"&amp;INDIRECT(ADDRESS(49,7))</f>
        <v>10:13</v>
      </c>
      <c r="J8" s="17" t="str">
        <f ca="1">INDIRECT(ADDRESS(52,7))&amp;":"&amp;INDIRECT(ADDRESS(52,6))</f>
        <v>3:13</v>
      </c>
      <c r="K8" s="44" t="str">
        <f ca="1">INDIRECT(ADDRESS(23,6))&amp;":"&amp;INDIRECT(ADDRESS(23,7))</f>
        <v>13:9</v>
      </c>
      <c r="L8" s="18" t="str">
        <f ca="1">INDIRECT(ADDRESS(28,7))&amp;":"&amp;INDIRECT(ADDRESS(28,6))</f>
        <v>7:13</v>
      </c>
      <c r="M8" s="112">
        <f ca="1">IF(COUNT(F9:L9)=0,"",COUNTIF(F9:L9,"&gt;0")+0.5*COUNTIF(F9:L9,0))</f>
        <v>3</v>
      </c>
      <c r="N8" s="13">
        <v>1</v>
      </c>
      <c r="O8" s="89">
        <v>4</v>
      </c>
    </row>
    <row r="9" spans="1:15" ht="24" customHeight="1" x14ac:dyDescent="0.25">
      <c r="A9" s="6"/>
      <c r="B9" s="91"/>
      <c r="C9" s="81"/>
      <c r="D9" s="82"/>
      <c r="E9" s="83"/>
      <c r="F9" s="19">
        <f ca="1">IF(LEN(INDIRECT(ADDRESS(ROW()-1, COLUMN())))=1,"",INDIRECT(ADDRESS(32,6))-INDIRECT(ADDRESS(32,7)))</f>
        <v>8</v>
      </c>
      <c r="G9" s="13">
        <f ca="1">IF(LEN(INDIRECT(ADDRESS(ROW()-1, COLUMN())))=1,"",INDIRECT(ADDRESS(39,7))-INDIRECT(ADDRESS(39,6)))</f>
        <v>4</v>
      </c>
      <c r="H9" s="20"/>
      <c r="I9" s="13">
        <f ca="1">IF(LEN(INDIRECT(ADDRESS(ROW()-1, COLUMN())))=1,"",INDIRECT(ADDRESS(49,6))-INDIRECT(ADDRESS(49,7)))</f>
        <v>-3</v>
      </c>
      <c r="J9" s="13">
        <f ca="1">IF(LEN(INDIRECT(ADDRESS(ROW()-1, COLUMN())))=1,"",INDIRECT(ADDRESS(52,7))-INDIRECT(ADDRESS(52,6)))</f>
        <v>-10</v>
      </c>
      <c r="K9" s="43">
        <f ca="1">IF(LEN(INDIRECT(ADDRESS(ROW()-1, COLUMN())))=1,"",INDIRECT(ADDRESS(23,6))-INDIRECT(ADDRESS(23,7)))</f>
        <v>4</v>
      </c>
      <c r="L9" s="14">
        <f ca="1">IF(LEN(INDIRECT(ADDRESS(ROW()-1, COLUMN())))=1,"",INDIRECT(ADDRESS(28,7))-INDIRECT(ADDRESS(28,6)))</f>
        <v>-6</v>
      </c>
      <c r="M9" s="112"/>
      <c r="N9" s="13">
        <f ca="1">IF(COUNT(F9:L9)=0,"",SUM(F9:L9))</f>
        <v>-3</v>
      </c>
      <c r="O9" s="92"/>
    </row>
    <row r="10" spans="1:15" ht="24" customHeight="1" x14ac:dyDescent="0.25">
      <c r="A10" s="6"/>
      <c r="B10" s="79">
        <v>4</v>
      </c>
      <c r="C10" s="81" t="s">
        <v>123</v>
      </c>
      <c r="D10" s="82"/>
      <c r="E10" s="83"/>
      <c r="F10" s="15" t="str">
        <f ca="1">INDIRECT(ADDRESS(38,7))&amp;":"&amp;INDIRECT(ADDRESS(38,6))</f>
        <v>13:10</v>
      </c>
      <c r="G10" s="17" t="str">
        <f ca="1">INDIRECT(ADDRESS(42,6))&amp;":"&amp;INDIRECT(ADDRESS(42,7))</f>
        <v>13:7</v>
      </c>
      <c r="H10" s="17" t="str">
        <f ca="1">INDIRECT(ADDRESS(49,7))&amp;":"&amp;INDIRECT(ADDRESS(49,6))</f>
        <v>13:10</v>
      </c>
      <c r="I10" s="16"/>
      <c r="J10" s="17" t="str">
        <f ca="1">INDIRECT(ADDRESS(24,6))&amp;":"&amp;INDIRECT(ADDRESS(24,7))</f>
        <v>3:13</v>
      </c>
      <c r="K10" s="44" t="str">
        <f ca="1">INDIRECT(ADDRESS(27,7))&amp;":"&amp;INDIRECT(ADDRESS(27,6))</f>
        <v>6:13</v>
      </c>
      <c r="L10" s="18" t="str">
        <f ca="1">INDIRECT(ADDRESS(33,6))&amp;":"&amp;INDIRECT(ADDRESS(33,7))</f>
        <v>3:13</v>
      </c>
      <c r="M10" s="112">
        <f ca="1">IF(COUNT(F11:L11)=0,"",COUNTIF(F11:L11,"&gt;0")+0.5*COUNTIF(F11:L11,0))</f>
        <v>3</v>
      </c>
      <c r="N10" s="13">
        <v>-4</v>
      </c>
      <c r="O10" s="89">
        <v>5</v>
      </c>
    </row>
    <row r="11" spans="1:15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COLUMN())))=1,"",INDIRECT(ADDRESS(38,7))-INDIRECT(ADDRESS(38,6)))</f>
        <v>3</v>
      </c>
      <c r="G11" s="13">
        <f ca="1">IF(LEN(INDIRECT(ADDRESS(ROW()-1, COLUMN())))=1,"",INDIRECT(ADDRESS(42,6))-INDIRECT(ADDRESS(42,7)))</f>
        <v>6</v>
      </c>
      <c r="H11" s="13">
        <f ca="1">IF(LEN(INDIRECT(ADDRESS(ROW()-1, COLUMN())))=1,"",INDIRECT(ADDRESS(49,7))-INDIRECT(ADDRESS(49,6)))</f>
        <v>3</v>
      </c>
      <c r="I11" s="20"/>
      <c r="J11" s="13">
        <f ca="1">IF(LEN(INDIRECT(ADDRESS(ROW()-1, COLUMN())))=1,"",INDIRECT(ADDRESS(24,6))-INDIRECT(ADDRESS(24,7)))</f>
        <v>-10</v>
      </c>
      <c r="K11" s="43">
        <f ca="1">IF(LEN(INDIRECT(ADDRESS(ROW()-1, COLUMN())))=1,"",INDIRECT(ADDRESS(27,7))-INDIRECT(ADDRESS(27,6)))</f>
        <v>-7</v>
      </c>
      <c r="L11" s="14">
        <f ca="1">IF(LEN(INDIRECT(ADDRESS(ROW()-1, COLUMN())))=1,"",INDIRECT(ADDRESS(33,6))-INDIRECT(ADDRESS(33,7)))</f>
        <v>-10</v>
      </c>
      <c r="M11" s="112"/>
      <c r="N11" s="13">
        <f ca="1">IF(COUNT(F11:L11)=0,"",SUM(F11:L11))</f>
        <v>-15</v>
      </c>
      <c r="O11" s="92"/>
    </row>
    <row r="12" spans="1:15" ht="24" customHeight="1" x14ac:dyDescent="0.25">
      <c r="A12" s="6"/>
      <c r="B12" s="79">
        <v>5</v>
      </c>
      <c r="C12" s="93" t="s">
        <v>124</v>
      </c>
      <c r="D12" s="94"/>
      <c r="E12" s="95"/>
      <c r="F12" s="15" t="str">
        <f ca="1">INDIRECT(ADDRESS(43,6))&amp;":"&amp;INDIRECT(ADDRESS(43,7))</f>
        <v>13:10</v>
      </c>
      <c r="G12" s="17" t="str">
        <f ca="1">INDIRECT(ADDRESS(48,7))&amp;":"&amp;INDIRECT(ADDRESS(48,6))</f>
        <v>6:13</v>
      </c>
      <c r="H12" s="17" t="str">
        <f ca="1">INDIRECT(ADDRESS(52,6))&amp;":"&amp;INDIRECT(ADDRESS(52,7))</f>
        <v>13:3</v>
      </c>
      <c r="I12" s="17" t="str">
        <f ca="1">INDIRECT(ADDRESS(24,7))&amp;":"&amp;INDIRECT(ADDRESS(24,6))</f>
        <v>13:3</v>
      </c>
      <c r="J12" s="16"/>
      <c r="K12" s="44" t="str">
        <f ca="1">INDIRECT(ADDRESS(34,6))&amp;":"&amp;INDIRECT(ADDRESS(34,7))</f>
        <v>11:13</v>
      </c>
      <c r="L12" s="18" t="str">
        <f ca="1">INDIRECT(ADDRESS(37,7))&amp;":"&amp;INDIRECT(ADDRESS(37,6))</f>
        <v>13:6</v>
      </c>
      <c r="M12" s="112">
        <f ca="1">IF(COUNT(F13:L13)=0,"",COUNTIF(F13:L13,"&gt;0")+0.5*COUNTIF(F13:L13,0))</f>
        <v>4</v>
      </c>
      <c r="N12" s="13"/>
      <c r="O12" s="89">
        <v>2</v>
      </c>
    </row>
    <row r="13" spans="1:15" ht="24" customHeight="1" x14ac:dyDescent="0.25">
      <c r="A13" s="6"/>
      <c r="B13" s="91"/>
      <c r="C13" s="93"/>
      <c r="D13" s="94"/>
      <c r="E13" s="95"/>
      <c r="F13" s="19">
        <f ca="1">IF(LEN(INDIRECT(ADDRESS(ROW()-1, COLUMN())))=1,"",INDIRECT(ADDRESS(43,6))-INDIRECT(ADDRESS(43,7)))</f>
        <v>3</v>
      </c>
      <c r="G13" s="13">
        <f ca="1">IF(LEN(INDIRECT(ADDRESS(ROW()-1, COLUMN())))=1,"",INDIRECT(ADDRESS(48,7))-INDIRECT(ADDRESS(48,6)))</f>
        <v>-7</v>
      </c>
      <c r="H13" s="13">
        <f ca="1">IF(LEN(INDIRECT(ADDRESS(ROW()-1, COLUMN())))=1,"",INDIRECT(ADDRESS(52,6))-INDIRECT(ADDRESS(52,7)))</f>
        <v>10</v>
      </c>
      <c r="I13" s="13">
        <f ca="1">IF(LEN(INDIRECT(ADDRESS(ROW()-1, COLUMN())))=1,"",INDIRECT(ADDRESS(24,7))-INDIRECT(ADDRESS(24,6)))</f>
        <v>10</v>
      </c>
      <c r="J13" s="20"/>
      <c r="K13" s="43">
        <f ca="1">IF(LEN(INDIRECT(ADDRESS(ROW()-1, COLUMN())))=1,"",INDIRECT(ADDRESS(34,6))-INDIRECT(ADDRESS(34,7)))</f>
        <v>-2</v>
      </c>
      <c r="L13" s="14">
        <f ca="1">IF(LEN(INDIRECT(ADDRESS(ROW()-1, COLUMN())))=1,"",INDIRECT(ADDRESS(37,7))-INDIRECT(ADDRESS(37,6)))</f>
        <v>7</v>
      </c>
      <c r="M13" s="112"/>
      <c r="N13" s="13">
        <f ca="1">IF(COUNT(F13:L13)=0,"",SUM(F13:L13))</f>
        <v>21</v>
      </c>
      <c r="O13" s="92"/>
    </row>
    <row r="14" spans="1:15" ht="24" customHeight="1" x14ac:dyDescent="0.25">
      <c r="A14" s="6"/>
      <c r="B14" s="79">
        <v>6</v>
      </c>
      <c r="C14" s="81" t="s">
        <v>125</v>
      </c>
      <c r="D14" s="82"/>
      <c r="E14" s="83"/>
      <c r="F14" s="15" t="str">
        <f ca="1">INDIRECT(ADDRESS(47,7))&amp;":"&amp;INDIRECT(ADDRESS(47,6))</f>
        <v>5:13</v>
      </c>
      <c r="G14" s="17" t="str">
        <f ca="1">INDIRECT(ADDRESS(53,6))&amp;":"&amp;INDIRECT(ADDRESS(53,7))</f>
        <v>11:13</v>
      </c>
      <c r="H14" s="17" t="str">
        <f ca="1">INDIRECT(ADDRESS(23,7))&amp;":"&amp;INDIRECT(ADDRESS(23,6))</f>
        <v>9:13</v>
      </c>
      <c r="I14" s="17" t="str">
        <f ca="1">INDIRECT(ADDRESS(27,6))&amp;":"&amp;INDIRECT(ADDRESS(27,7))</f>
        <v>13:6</v>
      </c>
      <c r="J14" s="17" t="str">
        <f ca="1">INDIRECT(ADDRESS(34,7))&amp;":"&amp;INDIRECT(ADDRESS(34,6))</f>
        <v>13:11</v>
      </c>
      <c r="K14" s="45"/>
      <c r="L14" s="46" t="str">
        <f ca="1">INDIRECT(ADDRESS(44,6))&amp;":"&amp;INDIRECT(ADDRESS(44,7))</f>
        <v>13:5</v>
      </c>
      <c r="M14" s="112">
        <f ca="1">IF(COUNT(F15:L15)=0,"",COUNTIF(F15:L15,"&gt;0")+0.5*COUNTIF(F15:L15,0))</f>
        <v>3</v>
      </c>
      <c r="N14" s="13">
        <v>3</v>
      </c>
      <c r="O14" s="89">
        <v>3</v>
      </c>
    </row>
    <row r="15" spans="1:15" ht="24" customHeight="1" x14ac:dyDescent="0.25">
      <c r="A15" s="6"/>
      <c r="B15" s="91"/>
      <c r="C15" s="81"/>
      <c r="D15" s="82"/>
      <c r="E15" s="83"/>
      <c r="F15" s="19">
        <f ca="1">IF(LEN(INDIRECT(ADDRESS(ROW()-1, COLUMN())))=1,"",INDIRECT(ADDRESS(47,7))-INDIRECT(ADDRESS(47,6)))</f>
        <v>-8</v>
      </c>
      <c r="G15" s="13">
        <f ca="1">IF(LEN(INDIRECT(ADDRESS(ROW()-1, COLUMN())))=1,"",INDIRECT(ADDRESS(53,6))-INDIRECT(ADDRESS(53,7)))</f>
        <v>-2</v>
      </c>
      <c r="H15" s="13">
        <f ca="1">IF(LEN(INDIRECT(ADDRESS(ROW()-1, COLUMN())))=1,"",INDIRECT(ADDRESS(23,7))-INDIRECT(ADDRESS(23,6)))</f>
        <v>-4</v>
      </c>
      <c r="I15" s="13">
        <f ca="1">IF(LEN(INDIRECT(ADDRESS(ROW()-1, COLUMN())))=1,"",INDIRECT(ADDRESS(27,6))-INDIRECT(ADDRESS(27,7)))</f>
        <v>7</v>
      </c>
      <c r="J15" s="13">
        <f ca="1">IF(LEN(INDIRECT(ADDRESS(ROW()-1, COLUMN())))=1,"",INDIRECT(ADDRESS(34,7))-INDIRECT(ADDRESS(34,6)))</f>
        <v>2</v>
      </c>
      <c r="K15" s="47"/>
      <c r="L15" s="48">
        <f ca="1">IF(LEN(INDIRECT(ADDRESS(ROW()-1, COLUMN())))=1,"",INDIRECT(ADDRESS(44,6))-INDIRECT(ADDRESS(44,7)))</f>
        <v>8</v>
      </c>
      <c r="M15" s="112"/>
      <c r="N15" s="13">
        <f ca="1">IF(COUNT(F15:L15)=0,"",SUM(F15:L15))</f>
        <v>3</v>
      </c>
      <c r="O15" s="92"/>
    </row>
    <row r="16" spans="1:15" ht="24" customHeight="1" x14ac:dyDescent="0.25">
      <c r="A16" s="6"/>
      <c r="B16" s="113">
        <v>7</v>
      </c>
      <c r="C16" s="114" t="s">
        <v>126</v>
      </c>
      <c r="D16" s="115"/>
      <c r="E16" s="116"/>
      <c r="F16" s="49" t="str">
        <f ca="1">INDIRECT(ADDRESS(54,6))&amp;":"&amp;INDIRECT(ADDRESS(54,7))</f>
        <v>5:13</v>
      </c>
      <c r="G16" s="50" t="str">
        <f ca="1">INDIRECT(ADDRESS(22,7))&amp;":"&amp;INDIRECT(ADDRESS(22,6))</f>
        <v>8:13</v>
      </c>
      <c r="H16" s="50" t="str">
        <f ca="1">INDIRECT(ADDRESS(28,6))&amp;":"&amp;INDIRECT(ADDRESS(28,7))</f>
        <v>13:7</v>
      </c>
      <c r="I16" s="50" t="str">
        <f ca="1">INDIRECT(ADDRESS(33,7))&amp;":"&amp;INDIRECT(ADDRESS(33,6))</f>
        <v>13:3</v>
      </c>
      <c r="J16" s="50" t="str">
        <f ca="1">INDIRECT(ADDRESS(37,6))&amp;":"&amp;INDIRECT(ADDRESS(37,7))</f>
        <v>6:13</v>
      </c>
      <c r="K16" s="51" t="str">
        <f ca="1">INDIRECT(ADDRESS(44,7))&amp;":"&amp;INDIRECT(ADDRESS(44,6))</f>
        <v>5:13</v>
      </c>
      <c r="L16" s="52"/>
      <c r="M16" s="112">
        <f ca="1">IF(COUNT(F17:L17)=0,"",COUNTIF(F17:L17,"&gt;0")+0.5*COUNTIF(F17:L17,0))</f>
        <v>2</v>
      </c>
      <c r="N16" s="53"/>
      <c r="O16" s="118">
        <v>7</v>
      </c>
    </row>
    <row r="17" spans="1:15" ht="24" customHeight="1" thickBot="1" x14ac:dyDescent="0.3">
      <c r="A17" s="6"/>
      <c r="B17" s="80"/>
      <c r="C17" s="84"/>
      <c r="D17" s="85"/>
      <c r="E17" s="86"/>
      <c r="F17" s="22">
        <f ca="1">IF(LEN(INDIRECT(ADDRESS(ROW()-1, COLUMN())))=1,"",INDIRECT(ADDRESS(54,6))-INDIRECT(ADDRESS(54,7)))</f>
        <v>-8</v>
      </c>
      <c r="G17" s="23">
        <f ca="1">IF(LEN(INDIRECT(ADDRESS(ROW()-1, COLUMN())))=1,"",INDIRECT(ADDRESS(22,7))-INDIRECT(ADDRESS(22,6)))</f>
        <v>-5</v>
      </c>
      <c r="H17" s="23">
        <f ca="1">IF(LEN(INDIRECT(ADDRESS(ROW()-1, COLUMN())))=1,"",INDIRECT(ADDRESS(28,6))-INDIRECT(ADDRESS(28,7)))</f>
        <v>6</v>
      </c>
      <c r="I17" s="23">
        <f ca="1">IF(LEN(INDIRECT(ADDRESS(ROW()-1, COLUMN())))=1,"",INDIRECT(ADDRESS(33,7))-INDIRECT(ADDRESS(33,6)))</f>
        <v>10</v>
      </c>
      <c r="J17" s="23">
        <f ca="1">IF(LEN(INDIRECT(ADDRESS(ROW()-1, COLUMN())))=1,"",INDIRECT(ADDRESS(37,6))-INDIRECT(ADDRESS(37,7)))</f>
        <v>-7</v>
      </c>
      <c r="K17" s="54">
        <f ca="1">IF(LEN(INDIRECT(ADDRESS(ROW()-1, COLUMN())))=1,"",INDIRECT(ADDRESS(44,7))-INDIRECT(ADDRESS(44,6)))</f>
        <v>-8</v>
      </c>
      <c r="L17" s="24"/>
      <c r="M17" s="117"/>
      <c r="N17" s="23">
        <f ca="1">IF(COUNT(F17:L17)=0,"",SUM(F17:L17))</f>
        <v>-12</v>
      </c>
      <c r="O17" s="90"/>
    </row>
    <row r="18" spans="1:15" x14ac:dyDescent="0.25">
      <c r="M18"/>
    </row>
    <row r="19" spans="1:15" x14ac:dyDescent="0.25">
      <c r="M19"/>
    </row>
    <row r="20" spans="1:15" x14ac:dyDescent="0.25">
      <c r="M20"/>
    </row>
    <row r="21" spans="1:15" ht="30" customHeight="1" thickBot="1" x14ac:dyDescent="0.3">
      <c r="B21" s="78" t="s">
        <v>5</v>
      </c>
      <c r="C21" s="78"/>
      <c r="D21" s="78"/>
      <c r="E21" s="78"/>
      <c r="F21" s="78"/>
      <c r="G21" s="78"/>
      <c r="H21" s="78"/>
      <c r="I21" s="78"/>
      <c r="J21" s="78"/>
      <c r="K21" s="78"/>
      <c r="M21"/>
    </row>
    <row r="22" spans="1:15" ht="30" customHeight="1" thickBot="1" x14ac:dyDescent="0.3">
      <c r="B22" s="6">
        <v>2</v>
      </c>
      <c r="C22" s="75" t="str">
        <f ca="1">IF(ISBLANK(INDIRECT(ADDRESS(B22*2+2,3))),"",INDIRECT(ADDRESS(B22*2+2,3)))</f>
        <v>Бублик Татьяна</v>
      </c>
      <c r="D22" s="75"/>
      <c r="E22" s="76"/>
      <c r="F22" s="26">
        <v>13</v>
      </c>
      <c r="G22" s="27">
        <v>8</v>
      </c>
      <c r="H22" s="77" t="str">
        <f ca="1">IF(ISBLANK(INDIRECT(ADDRESS(K22*2+2,3))),"",INDIRECT(ADDRESS(K22*2+2,3)))</f>
        <v>Медведева Елена</v>
      </c>
      <c r="I22" s="75"/>
      <c r="J22" s="75"/>
      <c r="K22" s="6">
        <v>7</v>
      </c>
      <c r="L22" s="28" t="s">
        <v>6</v>
      </c>
      <c r="M22" s="29"/>
    </row>
    <row r="23" spans="1:15" ht="30" customHeight="1" thickBot="1" x14ac:dyDescent="0.3">
      <c r="B23" s="6">
        <v>3</v>
      </c>
      <c r="C23" s="75" t="str">
        <f ca="1">IF(ISBLANK(INDIRECT(ADDRESS(B23*2+2,3))),"",INDIRECT(ADDRESS(B23*2+2,3)))</f>
        <v>Рязанская Любовь</v>
      </c>
      <c r="D23" s="75"/>
      <c r="E23" s="76"/>
      <c r="F23" s="26">
        <v>13</v>
      </c>
      <c r="G23" s="27">
        <v>9</v>
      </c>
      <c r="H23" s="77" t="str">
        <f ca="1">IF(ISBLANK(INDIRECT(ADDRESS(K23*2+2,3))),"",INDIRECT(ADDRESS(K23*2+2,3)))</f>
        <v>Дурынчева Татьяна</v>
      </c>
      <c r="I23" s="75"/>
      <c r="J23" s="75"/>
      <c r="K23" s="6">
        <v>6</v>
      </c>
      <c r="L23" s="28" t="s">
        <v>6</v>
      </c>
      <c r="M23" s="29"/>
    </row>
    <row r="24" spans="1:15" ht="30" customHeight="1" thickBot="1" x14ac:dyDescent="0.3">
      <c r="B24" s="6">
        <v>4</v>
      </c>
      <c r="C24" s="75" t="str">
        <f ca="1">IF(ISBLANK(INDIRECT(ADDRESS(B24*2+2,3))),"",INDIRECT(ADDRESS(B24*2+2,3)))</f>
        <v>Шкредова Эвелина</v>
      </c>
      <c r="D24" s="75"/>
      <c r="E24" s="76"/>
      <c r="F24" s="26">
        <v>3</v>
      </c>
      <c r="G24" s="27">
        <v>13</v>
      </c>
      <c r="H24" s="77" t="str">
        <f ca="1">IF(ISBLANK(INDIRECT(ADDRESS(K24*2+2,3))),"",INDIRECT(ADDRESS(K24*2+2,3)))</f>
        <v>Санникова Лариса</v>
      </c>
      <c r="I24" s="75"/>
      <c r="J24" s="75"/>
      <c r="K24" s="6">
        <v>5</v>
      </c>
      <c r="L24" s="28" t="s">
        <v>6</v>
      </c>
      <c r="M24" s="29"/>
    </row>
    <row r="25" spans="1:15" ht="30" customHeight="1" x14ac:dyDescent="0.25"/>
    <row r="26" spans="1:15" ht="30" customHeight="1" thickBot="1" x14ac:dyDescent="0.3">
      <c r="B26" s="78" t="s">
        <v>7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1:15" ht="30" customHeight="1" thickBot="1" x14ac:dyDescent="0.3">
      <c r="B27" s="6">
        <v>6</v>
      </c>
      <c r="C27" s="75" t="str">
        <f ca="1">IF(ISBLANK(INDIRECT(ADDRESS(B27*2+2,3))),"",INDIRECT(ADDRESS(B27*2+2,3)))</f>
        <v>Дурынчева Татьяна</v>
      </c>
      <c r="D27" s="75"/>
      <c r="E27" s="76"/>
      <c r="F27" s="26">
        <v>13</v>
      </c>
      <c r="G27" s="27">
        <v>6</v>
      </c>
      <c r="H27" s="77" t="str">
        <f ca="1">IF(ISBLANK(INDIRECT(ADDRESS(K27*2+2,3))),"",INDIRECT(ADDRESS(K27*2+2,3)))</f>
        <v>Шкредова Эвелина</v>
      </c>
      <c r="I27" s="75"/>
      <c r="J27" s="75"/>
      <c r="K27" s="6">
        <v>4</v>
      </c>
      <c r="L27" s="28" t="s">
        <v>6</v>
      </c>
      <c r="M27" s="29"/>
    </row>
    <row r="28" spans="1:15" ht="30" customHeight="1" thickBot="1" x14ac:dyDescent="0.3">
      <c r="B28" s="6">
        <v>7</v>
      </c>
      <c r="C28" s="75" t="str">
        <f ca="1">IF(ISBLANK(INDIRECT(ADDRESS(B28*2+2,3))),"",INDIRECT(ADDRESS(B28*2+2,3)))</f>
        <v>Медведева Елена</v>
      </c>
      <c r="D28" s="75"/>
      <c r="E28" s="76"/>
      <c r="F28" s="26">
        <v>13</v>
      </c>
      <c r="G28" s="27">
        <v>7</v>
      </c>
      <c r="H28" s="77" t="str">
        <f ca="1">IF(ISBLANK(INDIRECT(ADDRESS(K28*2+2,3))),"",INDIRECT(ADDRESS(K28*2+2,3)))</f>
        <v>Рязанская Любовь</v>
      </c>
      <c r="I28" s="75"/>
      <c r="J28" s="75"/>
      <c r="K28" s="6">
        <v>3</v>
      </c>
      <c r="L28" s="28" t="s">
        <v>6</v>
      </c>
      <c r="M28" s="29"/>
    </row>
    <row r="29" spans="1:15" ht="30" customHeight="1" thickBot="1" x14ac:dyDescent="0.3">
      <c r="B29" s="6">
        <v>1</v>
      </c>
      <c r="C29" s="75" t="str">
        <f ca="1">IF(ISBLANK(INDIRECT(ADDRESS(B29*2+2,3))),"",INDIRECT(ADDRESS(B29*2+2,3)))</f>
        <v>Скляр Светлана</v>
      </c>
      <c r="D29" s="75"/>
      <c r="E29" s="76"/>
      <c r="F29" s="26">
        <v>3</v>
      </c>
      <c r="G29" s="27">
        <v>13</v>
      </c>
      <c r="H29" s="77" t="str">
        <f ca="1">IF(ISBLANK(INDIRECT(ADDRESS(K29*2+2,3))),"",INDIRECT(ADDRESS(K29*2+2,3)))</f>
        <v>Бублик Татьяна</v>
      </c>
      <c r="I29" s="75"/>
      <c r="J29" s="75"/>
      <c r="K29" s="6">
        <v>2</v>
      </c>
      <c r="L29" s="28" t="s">
        <v>6</v>
      </c>
      <c r="M29" s="29"/>
    </row>
    <row r="30" spans="1:15" ht="30" customHeight="1" x14ac:dyDescent="0.25"/>
    <row r="31" spans="1:15" ht="30" customHeight="1" thickBot="1" x14ac:dyDescent="0.3">
      <c r="B31" s="78" t="s">
        <v>8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1:15" ht="30" customHeight="1" thickBot="1" x14ac:dyDescent="0.3">
      <c r="B32" s="6">
        <v>3</v>
      </c>
      <c r="C32" s="75" t="str">
        <f ca="1">IF(ISBLANK(INDIRECT(ADDRESS(B32*2+2,3))),"",INDIRECT(ADDRESS(B32*2+2,3)))</f>
        <v>Рязанская Любовь</v>
      </c>
      <c r="D32" s="75"/>
      <c r="E32" s="76"/>
      <c r="F32" s="26">
        <v>13</v>
      </c>
      <c r="G32" s="27">
        <v>5</v>
      </c>
      <c r="H32" s="77" t="str">
        <f ca="1">IF(ISBLANK(INDIRECT(ADDRESS(K32*2+2,3))),"",INDIRECT(ADDRESS(K32*2+2,3)))</f>
        <v>Скляр Светлана</v>
      </c>
      <c r="I32" s="75"/>
      <c r="J32" s="75"/>
      <c r="K32" s="6">
        <v>1</v>
      </c>
      <c r="L32" s="28" t="s">
        <v>6</v>
      </c>
      <c r="M32" s="29"/>
    </row>
    <row r="33" spans="2:13" ht="30" customHeight="1" thickBot="1" x14ac:dyDescent="0.3">
      <c r="B33" s="6">
        <v>4</v>
      </c>
      <c r="C33" s="75" t="str">
        <f ca="1">IF(ISBLANK(INDIRECT(ADDRESS(B33*2+2,3))),"",INDIRECT(ADDRESS(B33*2+2,3)))</f>
        <v>Шкредова Эвелина</v>
      </c>
      <c r="D33" s="75"/>
      <c r="E33" s="76"/>
      <c r="F33" s="26">
        <v>3</v>
      </c>
      <c r="G33" s="27">
        <v>13</v>
      </c>
      <c r="H33" s="77" t="str">
        <f ca="1">IF(ISBLANK(INDIRECT(ADDRESS(K33*2+2,3))),"",INDIRECT(ADDRESS(K33*2+2,3)))</f>
        <v>Медведева Елена</v>
      </c>
      <c r="I33" s="75"/>
      <c r="J33" s="75"/>
      <c r="K33" s="6">
        <v>7</v>
      </c>
      <c r="L33" s="28" t="s">
        <v>6</v>
      </c>
      <c r="M33" s="29"/>
    </row>
    <row r="34" spans="2:13" ht="30" customHeight="1" thickBot="1" x14ac:dyDescent="0.3">
      <c r="B34" s="6">
        <v>5</v>
      </c>
      <c r="C34" s="75" t="str">
        <f ca="1">IF(ISBLANK(INDIRECT(ADDRESS(B34*2+2,3))),"",INDIRECT(ADDRESS(B34*2+2,3)))</f>
        <v>Санникова Лариса</v>
      </c>
      <c r="D34" s="75"/>
      <c r="E34" s="76"/>
      <c r="F34" s="26">
        <v>11</v>
      </c>
      <c r="G34" s="27">
        <v>13</v>
      </c>
      <c r="H34" s="77" t="str">
        <f ca="1">IF(ISBLANK(INDIRECT(ADDRESS(K34*2+2,3))),"",INDIRECT(ADDRESS(K34*2+2,3)))</f>
        <v>Дурынчева Татьяна</v>
      </c>
      <c r="I34" s="75"/>
      <c r="J34" s="75"/>
      <c r="K34" s="6">
        <v>6</v>
      </c>
      <c r="L34" s="28" t="s">
        <v>6</v>
      </c>
      <c r="M34" s="29"/>
    </row>
    <row r="35" spans="2:13" ht="30" customHeight="1" x14ac:dyDescent="0.25"/>
    <row r="36" spans="2:13" ht="30" customHeight="1" thickBot="1" x14ac:dyDescent="0.3">
      <c r="B36" s="78" t="s">
        <v>9</v>
      </c>
      <c r="C36" s="78"/>
      <c r="D36" s="78"/>
      <c r="E36" s="78"/>
      <c r="F36" s="78"/>
      <c r="G36" s="78"/>
      <c r="H36" s="78"/>
      <c r="I36" s="78"/>
      <c r="J36" s="78"/>
      <c r="K36" s="78"/>
    </row>
    <row r="37" spans="2:13" ht="30" customHeight="1" thickBot="1" x14ac:dyDescent="0.3">
      <c r="B37" s="6">
        <v>7</v>
      </c>
      <c r="C37" s="75" t="str">
        <f ca="1">IF(ISBLANK(INDIRECT(ADDRESS(B37*2+2,3))),"",INDIRECT(ADDRESS(B37*2+2,3)))</f>
        <v>Медведева Елена</v>
      </c>
      <c r="D37" s="75"/>
      <c r="E37" s="76"/>
      <c r="F37" s="26">
        <v>6</v>
      </c>
      <c r="G37" s="27">
        <v>13</v>
      </c>
      <c r="H37" s="77" t="str">
        <f ca="1">IF(ISBLANK(INDIRECT(ADDRESS(K37*2+2,3))),"",INDIRECT(ADDRESS(K37*2+2,3)))</f>
        <v>Санникова Лариса</v>
      </c>
      <c r="I37" s="75"/>
      <c r="J37" s="75"/>
      <c r="K37" s="6">
        <v>5</v>
      </c>
      <c r="L37" s="28" t="s">
        <v>6</v>
      </c>
      <c r="M37" s="29"/>
    </row>
    <row r="38" spans="2:13" ht="30" customHeight="1" thickBot="1" x14ac:dyDescent="0.3">
      <c r="B38" s="6">
        <v>1</v>
      </c>
      <c r="C38" s="75" t="str">
        <f ca="1">IF(ISBLANK(INDIRECT(ADDRESS(B38*2+2,3))),"",INDIRECT(ADDRESS(B38*2+2,3)))</f>
        <v>Скляр Светлана</v>
      </c>
      <c r="D38" s="75"/>
      <c r="E38" s="76"/>
      <c r="F38" s="26">
        <v>10</v>
      </c>
      <c r="G38" s="27">
        <v>13</v>
      </c>
      <c r="H38" s="77" t="str">
        <f ca="1">IF(ISBLANK(INDIRECT(ADDRESS(K38*2+2,3))),"",INDIRECT(ADDRESS(K38*2+2,3)))</f>
        <v>Шкредова Эвелина</v>
      </c>
      <c r="I38" s="75"/>
      <c r="J38" s="75"/>
      <c r="K38" s="6">
        <v>4</v>
      </c>
      <c r="L38" s="28" t="s">
        <v>6</v>
      </c>
      <c r="M38" s="29"/>
    </row>
    <row r="39" spans="2:13" ht="30" customHeight="1" thickBot="1" x14ac:dyDescent="0.3">
      <c r="B39" s="6">
        <v>2</v>
      </c>
      <c r="C39" s="75" t="str">
        <f ca="1">IF(ISBLANK(INDIRECT(ADDRESS(B39*2+2,3))),"",INDIRECT(ADDRESS(B39*2+2,3)))</f>
        <v>Бублик Татьяна</v>
      </c>
      <c r="D39" s="75"/>
      <c r="E39" s="76"/>
      <c r="F39" s="26">
        <v>9</v>
      </c>
      <c r="G39" s="27">
        <v>13</v>
      </c>
      <c r="H39" s="77" t="str">
        <f ca="1">IF(ISBLANK(INDIRECT(ADDRESS(K39*2+2,3))),"",INDIRECT(ADDRESS(K39*2+2,3)))</f>
        <v>Рязанская Любовь</v>
      </c>
      <c r="I39" s="75"/>
      <c r="J39" s="75"/>
      <c r="K39" s="6">
        <v>3</v>
      </c>
      <c r="L39" s="28" t="s">
        <v>6</v>
      </c>
      <c r="M39" s="29"/>
    </row>
    <row r="40" spans="2:13" ht="30" customHeight="1" x14ac:dyDescent="0.25"/>
    <row r="41" spans="2:13" ht="30" customHeight="1" thickBot="1" x14ac:dyDescent="0.3">
      <c r="B41" s="78" t="s">
        <v>10</v>
      </c>
      <c r="C41" s="78"/>
      <c r="D41" s="78"/>
      <c r="E41" s="78"/>
      <c r="F41" s="78"/>
      <c r="G41" s="78"/>
      <c r="H41" s="78"/>
      <c r="I41" s="78"/>
      <c r="J41" s="78"/>
      <c r="K41" s="78"/>
    </row>
    <row r="42" spans="2:13" ht="30" customHeight="1" thickBot="1" x14ac:dyDescent="0.3">
      <c r="B42" s="6">
        <v>4</v>
      </c>
      <c r="C42" s="75" t="str">
        <f ca="1">IF(ISBLANK(INDIRECT(ADDRESS(B42*2+2,3))),"",INDIRECT(ADDRESS(B42*2+2,3)))</f>
        <v>Шкредова Эвелина</v>
      </c>
      <c r="D42" s="75"/>
      <c r="E42" s="76"/>
      <c r="F42" s="26">
        <v>13</v>
      </c>
      <c r="G42" s="27">
        <v>7</v>
      </c>
      <c r="H42" s="77" t="str">
        <f ca="1">IF(ISBLANK(INDIRECT(ADDRESS(K42*2+2,3))),"",INDIRECT(ADDRESS(K42*2+2,3)))</f>
        <v>Бублик Татьяна</v>
      </c>
      <c r="I42" s="75"/>
      <c r="J42" s="75"/>
      <c r="K42" s="6">
        <v>2</v>
      </c>
      <c r="L42" s="28" t="s">
        <v>6</v>
      </c>
      <c r="M42" s="29"/>
    </row>
    <row r="43" spans="2:13" ht="30" customHeight="1" thickBot="1" x14ac:dyDescent="0.3">
      <c r="B43" s="6">
        <v>5</v>
      </c>
      <c r="C43" s="75" t="str">
        <f ca="1">IF(ISBLANK(INDIRECT(ADDRESS(B43*2+2,3))),"",INDIRECT(ADDRESS(B43*2+2,3)))</f>
        <v>Санникова Лариса</v>
      </c>
      <c r="D43" s="75"/>
      <c r="E43" s="76"/>
      <c r="F43" s="26">
        <v>13</v>
      </c>
      <c r="G43" s="27">
        <v>10</v>
      </c>
      <c r="H43" s="77" t="str">
        <f ca="1">IF(ISBLANK(INDIRECT(ADDRESS(K43*2+2,3))),"",INDIRECT(ADDRESS(K43*2+2,3)))</f>
        <v>Скляр Светлана</v>
      </c>
      <c r="I43" s="75"/>
      <c r="J43" s="75"/>
      <c r="K43" s="6">
        <v>1</v>
      </c>
      <c r="L43" s="28" t="s">
        <v>6</v>
      </c>
      <c r="M43" s="29"/>
    </row>
    <row r="44" spans="2:13" ht="30" customHeight="1" thickBot="1" x14ac:dyDescent="0.3">
      <c r="B44" s="6">
        <v>6</v>
      </c>
      <c r="C44" s="75" t="str">
        <f ca="1">IF(ISBLANK(INDIRECT(ADDRESS(B44*2+2,3))),"",INDIRECT(ADDRESS(B44*2+2,3)))</f>
        <v>Дурынчева Татьяна</v>
      </c>
      <c r="D44" s="75"/>
      <c r="E44" s="76"/>
      <c r="F44" s="26">
        <v>13</v>
      </c>
      <c r="G44" s="27">
        <v>5</v>
      </c>
      <c r="H44" s="77" t="str">
        <f ca="1">IF(ISBLANK(INDIRECT(ADDRESS(K44*2+2,3))),"",INDIRECT(ADDRESS(K44*2+2,3)))</f>
        <v>Медведева Елена</v>
      </c>
      <c r="I44" s="75"/>
      <c r="J44" s="75"/>
      <c r="K44" s="6">
        <v>7</v>
      </c>
      <c r="L44" s="28" t="s">
        <v>6</v>
      </c>
      <c r="M44" s="29"/>
    </row>
    <row r="45" spans="2:13" ht="30" customHeight="1" x14ac:dyDescent="0.25"/>
    <row r="46" spans="2:13" ht="30" customHeight="1" thickBot="1" x14ac:dyDescent="0.3">
      <c r="B46" s="78" t="s">
        <v>107</v>
      </c>
      <c r="C46" s="78"/>
      <c r="D46" s="78"/>
      <c r="E46" s="78"/>
      <c r="F46" s="78"/>
      <c r="G46" s="78"/>
      <c r="H46" s="78"/>
      <c r="I46" s="78"/>
      <c r="J46" s="78"/>
      <c r="K46" s="78"/>
    </row>
    <row r="47" spans="2:13" ht="30" customHeight="1" thickBot="1" x14ac:dyDescent="0.3">
      <c r="B47" s="6">
        <v>1</v>
      </c>
      <c r="C47" s="75" t="str">
        <f ca="1">IF(ISBLANK(INDIRECT(ADDRESS(B47*2+2,3))),"",INDIRECT(ADDRESS(B47*2+2,3)))</f>
        <v>Скляр Светлана</v>
      </c>
      <c r="D47" s="75"/>
      <c r="E47" s="76"/>
      <c r="F47" s="26">
        <v>13</v>
      </c>
      <c r="G47" s="27">
        <v>5</v>
      </c>
      <c r="H47" s="77" t="str">
        <f ca="1">IF(ISBLANK(INDIRECT(ADDRESS(K47*2+2,3))),"",INDIRECT(ADDRESS(K47*2+2,3)))</f>
        <v>Дурынчева Татьяна</v>
      </c>
      <c r="I47" s="75"/>
      <c r="J47" s="75"/>
      <c r="K47" s="6">
        <v>6</v>
      </c>
      <c r="L47" s="28" t="s">
        <v>6</v>
      </c>
      <c r="M47" s="29"/>
    </row>
    <row r="48" spans="2:13" ht="30" customHeight="1" thickBot="1" x14ac:dyDescent="0.3">
      <c r="B48" s="6">
        <v>2</v>
      </c>
      <c r="C48" s="75" t="str">
        <f ca="1">IF(ISBLANK(INDIRECT(ADDRESS(B48*2+2,3))),"",INDIRECT(ADDRESS(B48*2+2,3)))</f>
        <v>Бублик Татьяна</v>
      </c>
      <c r="D48" s="75"/>
      <c r="E48" s="76"/>
      <c r="F48" s="26">
        <v>13</v>
      </c>
      <c r="G48" s="27">
        <v>6</v>
      </c>
      <c r="H48" s="77" t="str">
        <f ca="1">IF(ISBLANK(INDIRECT(ADDRESS(K48*2+2,3))),"",INDIRECT(ADDRESS(K48*2+2,3)))</f>
        <v>Санникова Лариса</v>
      </c>
      <c r="I48" s="75"/>
      <c r="J48" s="75"/>
      <c r="K48" s="6">
        <v>5</v>
      </c>
      <c r="L48" s="28" t="s">
        <v>6</v>
      </c>
      <c r="M48" s="29"/>
    </row>
    <row r="49" spans="2:13" ht="30" customHeight="1" thickBot="1" x14ac:dyDescent="0.3">
      <c r="B49" s="6">
        <v>3</v>
      </c>
      <c r="C49" s="75" t="str">
        <f ca="1">IF(ISBLANK(INDIRECT(ADDRESS(B49*2+2,3))),"",INDIRECT(ADDRESS(B49*2+2,3)))</f>
        <v>Рязанская Любовь</v>
      </c>
      <c r="D49" s="75"/>
      <c r="E49" s="76"/>
      <c r="F49" s="26">
        <v>10</v>
      </c>
      <c r="G49" s="27">
        <v>13</v>
      </c>
      <c r="H49" s="77" t="str">
        <f ca="1">IF(ISBLANK(INDIRECT(ADDRESS(K49*2+2,3))),"",INDIRECT(ADDRESS(K49*2+2,3)))</f>
        <v>Шкредова Эвелина</v>
      </c>
      <c r="I49" s="75"/>
      <c r="J49" s="75"/>
      <c r="K49" s="6">
        <v>4</v>
      </c>
      <c r="L49" s="28" t="s">
        <v>6</v>
      </c>
      <c r="M49" s="29"/>
    </row>
    <row r="50" spans="2:13" ht="30" customHeight="1" x14ac:dyDescent="0.25"/>
    <row r="51" spans="2:13" ht="30" customHeight="1" thickBot="1" x14ac:dyDescent="0.3">
      <c r="B51" s="78" t="s">
        <v>108</v>
      </c>
      <c r="C51" s="78"/>
      <c r="D51" s="78"/>
      <c r="E51" s="78"/>
      <c r="F51" s="78"/>
      <c r="G51" s="78"/>
      <c r="H51" s="78"/>
      <c r="I51" s="78"/>
      <c r="J51" s="78"/>
      <c r="K51" s="78"/>
    </row>
    <row r="52" spans="2:13" ht="30" customHeight="1" thickBot="1" x14ac:dyDescent="0.3">
      <c r="B52" s="6">
        <v>5</v>
      </c>
      <c r="C52" s="75" t="str">
        <f ca="1">IF(ISBLANK(INDIRECT(ADDRESS(B52*2+2,3))),"",INDIRECT(ADDRESS(B52*2+2,3)))</f>
        <v>Санникова Лариса</v>
      </c>
      <c r="D52" s="75"/>
      <c r="E52" s="76"/>
      <c r="F52" s="26">
        <v>13</v>
      </c>
      <c r="G52" s="27">
        <v>3</v>
      </c>
      <c r="H52" s="77" t="str">
        <f ca="1">IF(ISBLANK(INDIRECT(ADDRESS(K52*2+2,3))),"",INDIRECT(ADDRESS(K52*2+2,3)))</f>
        <v>Рязанская Любовь</v>
      </c>
      <c r="I52" s="75"/>
      <c r="J52" s="75"/>
      <c r="K52" s="6">
        <v>3</v>
      </c>
      <c r="L52" s="28" t="s">
        <v>6</v>
      </c>
      <c r="M52" s="29"/>
    </row>
    <row r="53" spans="2:13" ht="30" customHeight="1" thickBot="1" x14ac:dyDescent="0.3">
      <c r="B53" s="6">
        <v>6</v>
      </c>
      <c r="C53" s="75" t="str">
        <f ca="1">IF(ISBLANK(INDIRECT(ADDRESS(B53*2+2,3))),"",INDIRECT(ADDRESS(B53*2+2,3)))</f>
        <v>Дурынчева Татьяна</v>
      </c>
      <c r="D53" s="75"/>
      <c r="E53" s="76"/>
      <c r="F53" s="26">
        <v>11</v>
      </c>
      <c r="G53" s="27">
        <v>13</v>
      </c>
      <c r="H53" s="77" t="str">
        <f ca="1">IF(ISBLANK(INDIRECT(ADDRESS(K53*2+2,3))),"",INDIRECT(ADDRESS(K53*2+2,3)))</f>
        <v>Бублик Татьяна</v>
      </c>
      <c r="I53" s="75"/>
      <c r="J53" s="75"/>
      <c r="K53" s="6">
        <v>2</v>
      </c>
      <c r="L53" s="28" t="s">
        <v>6</v>
      </c>
      <c r="M53" s="29"/>
    </row>
    <row r="54" spans="2:13" ht="30" customHeight="1" thickBot="1" x14ac:dyDescent="0.3">
      <c r="B54" s="6">
        <v>7</v>
      </c>
      <c r="C54" s="75" t="str">
        <f ca="1">IF(ISBLANK(INDIRECT(ADDRESS(B54*2+2,3))),"",INDIRECT(ADDRESS(B54*2+2,3)))</f>
        <v>Медведева Елена</v>
      </c>
      <c r="D54" s="75"/>
      <c r="E54" s="76"/>
      <c r="F54" s="26">
        <v>5</v>
      </c>
      <c r="G54" s="27">
        <v>13</v>
      </c>
      <c r="H54" s="77" t="str">
        <f ca="1">IF(ISBLANK(INDIRECT(ADDRESS(K54*2+2,3))),"",INDIRECT(ADDRESS(K54*2+2,3)))</f>
        <v>Скляр Светлана</v>
      </c>
      <c r="I54" s="75"/>
      <c r="J54" s="75"/>
      <c r="K54" s="6">
        <v>1</v>
      </c>
      <c r="L54" s="28" t="s">
        <v>6</v>
      </c>
      <c r="M54" s="29"/>
    </row>
  </sheetData>
  <mergeCells count="79">
    <mergeCell ref="C54:E54"/>
    <mergeCell ref="H54:J54"/>
    <mergeCell ref="B46:K46"/>
    <mergeCell ref="C47:E47"/>
    <mergeCell ref="H47:J47"/>
    <mergeCell ref="C48:E48"/>
    <mergeCell ref="H48:J48"/>
    <mergeCell ref="C49:E49"/>
    <mergeCell ref="H49:J49"/>
    <mergeCell ref="B51:K51"/>
    <mergeCell ref="C52:E52"/>
    <mergeCell ref="H52:J52"/>
    <mergeCell ref="C53:E53"/>
    <mergeCell ref="H53:J53"/>
    <mergeCell ref="C44:E44"/>
    <mergeCell ref="H44:J44"/>
    <mergeCell ref="B36:K36"/>
    <mergeCell ref="C37:E37"/>
    <mergeCell ref="H37:J37"/>
    <mergeCell ref="C38:E38"/>
    <mergeCell ref="H38:J38"/>
    <mergeCell ref="C39:E39"/>
    <mergeCell ref="H39:J39"/>
    <mergeCell ref="B41:K41"/>
    <mergeCell ref="C42:E42"/>
    <mergeCell ref="H42:J42"/>
    <mergeCell ref="C43:E43"/>
    <mergeCell ref="H43:J43"/>
    <mergeCell ref="C34:E34"/>
    <mergeCell ref="H34:J34"/>
    <mergeCell ref="B26:K26"/>
    <mergeCell ref="C27:E27"/>
    <mergeCell ref="H27:J27"/>
    <mergeCell ref="C28:E28"/>
    <mergeCell ref="H28:J28"/>
    <mergeCell ref="C29:E29"/>
    <mergeCell ref="H29:J29"/>
    <mergeCell ref="B31:K31"/>
    <mergeCell ref="C32:E32"/>
    <mergeCell ref="H32:J32"/>
    <mergeCell ref="C33:E33"/>
    <mergeCell ref="H33:J33"/>
    <mergeCell ref="C24:E24"/>
    <mergeCell ref="H24:J24"/>
    <mergeCell ref="B14:B15"/>
    <mergeCell ref="C14:E15"/>
    <mergeCell ref="M14:M15"/>
    <mergeCell ref="B21:K21"/>
    <mergeCell ref="C22:E22"/>
    <mergeCell ref="H22:J22"/>
    <mergeCell ref="C23:E23"/>
    <mergeCell ref="H23:J23"/>
    <mergeCell ref="O14:O15"/>
    <mergeCell ref="B16:B17"/>
    <mergeCell ref="C16:E17"/>
    <mergeCell ref="M16:M17"/>
    <mergeCell ref="O16:O17"/>
    <mergeCell ref="B10:B11"/>
    <mergeCell ref="C10:E11"/>
    <mergeCell ref="M10:M11"/>
    <mergeCell ref="O10:O11"/>
    <mergeCell ref="B12:B13"/>
    <mergeCell ref="C12:E13"/>
    <mergeCell ref="M12:M13"/>
    <mergeCell ref="O12:O13"/>
    <mergeCell ref="B6:B7"/>
    <mergeCell ref="C6:E7"/>
    <mergeCell ref="M6:M7"/>
    <mergeCell ref="O6:O7"/>
    <mergeCell ref="B8:B9"/>
    <mergeCell ref="C8:E9"/>
    <mergeCell ref="M8:M9"/>
    <mergeCell ref="O8:O9"/>
    <mergeCell ref="O4:O5"/>
    <mergeCell ref="B1:K1"/>
    <mergeCell ref="C3:E3"/>
    <mergeCell ref="B4:B5"/>
    <mergeCell ref="C4:E5"/>
    <mergeCell ref="M4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4" sqref="E24"/>
    </sheetView>
  </sheetViews>
  <sheetFormatPr defaultRowHeight="15" x14ac:dyDescent="0.25"/>
  <cols>
    <col min="1" max="1" width="4" customWidth="1"/>
    <col min="2" max="11" width="10.28515625" customWidth="1"/>
    <col min="12" max="12" width="10.28515625" style="33" customWidth="1"/>
    <col min="13" max="15" width="10.28515625" customWidth="1"/>
  </cols>
  <sheetData>
    <row r="1" spans="1:14" ht="45" x14ac:dyDescent="0.25">
      <c r="B1" s="97" t="s">
        <v>110</v>
      </c>
      <c r="C1" s="97"/>
      <c r="D1" s="97"/>
      <c r="E1" s="97"/>
      <c r="F1" s="97"/>
      <c r="G1" s="97"/>
      <c r="H1" s="97"/>
      <c r="I1" s="97"/>
      <c r="J1" s="97"/>
      <c r="K1" s="97"/>
    </row>
    <row r="2" spans="1:14" ht="15.75" thickBot="1" x14ac:dyDescent="0.3"/>
    <row r="3" spans="1:14" ht="15.75" thickBot="1" x14ac:dyDescent="0.3">
      <c r="A3" s="6"/>
      <c r="B3" s="7"/>
      <c r="C3" s="98" t="s">
        <v>0</v>
      </c>
      <c r="D3" s="99"/>
      <c r="E3" s="100"/>
      <c r="F3" s="2">
        <v>1</v>
      </c>
      <c r="G3" s="2">
        <v>2</v>
      </c>
      <c r="H3" s="3">
        <v>3</v>
      </c>
      <c r="I3" s="7" t="s">
        <v>1</v>
      </c>
      <c r="J3" s="2" t="s">
        <v>2</v>
      </c>
      <c r="K3" s="32" t="s">
        <v>3</v>
      </c>
    </row>
    <row r="4" spans="1:14" ht="21" x14ac:dyDescent="0.25">
      <c r="A4" s="6"/>
      <c r="B4" s="101">
        <v>1</v>
      </c>
      <c r="C4" s="102" t="s">
        <v>114</v>
      </c>
      <c r="D4" s="103"/>
      <c r="E4" s="104"/>
      <c r="F4" s="8" t="s">
        <v>4</v>
      </c>
      <c r="G4" s="9" t="str">
        <f ca="1">INDIRECT(ADDRESS(17,6))&amp;":"&amp;INDIRECT(ADDRESS(17,7))</f>
        <v>2:1</v>
      </c>
      <c r="H4" s="10" t="str">
        <f ca="1">INDIRECT(ADDRESS(20,7))&amp;":"&amp;INDIRECT(ADDRESS(20,6))</f>
        <v>1:2</v>
      </c>
      <c r="I4" s="123">
        <f ca="1">IF(COUNT(F5:H5)=0,"",COUNTIF(F5:H5,"&gt;0")+0.5*COUNTIF(F5:H5,0))</f>
        <v>1</v>
      </c>
      <c r="J4" s="11"/>
      <c r="K4" s="122">
        <v>2</v>
      </c>
    </row>
    <row r="5" spans="1:14" ht="21" x14ac:dyDescent="0.25">
      <c r="A5" s="6"/>
      <c r="B5" s="91"/>
      <c r="C5" s="81"/>
      <c r="D5" s="82"/>
      <c r="E5" s="83"/>
      <c r="F5" s="12" t="s">
        <v>4</v>
      </c>
      <c r="G5" s="13">
        <f ca="1">IF(LEN(INDIRECT(ADDRESS(ROW()-1, COLUMN())))=1,"",INDIRECT(ADDRESS(17,6))-INDIRECT(ADDRESS(17,7)))</f>
        <v>1</v>
      </c>
      <c r="H5" s="14">
        <f ca="1">IF(LEN(INDIRECT(ADDRESS(ROW()-1, COLUMN())))=1,"",INDIRECT(ADDRESS(20,7))-INDIRECT(ADDRESS(20,6)))</f>
        <v>-1</v>
      </c>
      <c r="I5" s="112"/>
      <c r="J5" s="13">
        <f ca="1">IF(COUNT(F5:H5)=0,"",SUM(F5:H5))</f>
        <v>0</v>
      </c>
      <c r="K5" s="120"/>
    </row>
    <row r="6" spans="1:14" ht="21" x14ac:dyDescent="0.25">
      <c r="A6" s="6"/>
      <c r="B6" s="79">
        <v>2</v>
      </c>
      <c r="C6" s="81" t="s">
        <v>113</v>
      </c>
      <c r="D6" s="82"/>
      <c r="E6" s="83"/>
      <c r="F6" s="15" t="str">
        <f ca="1">INDIRECT(ADDRESS(17,7))&amp;":"&amp;INDIRECT(ADDRESS(17,6))</f>
        <v>1:2</v>
      </c>
      <c r="G6" s="16" t="s">
        <v>4</v>
      </c>
      <c r="H6" s="18" t="str">
        <f ca="1">INDIRECT(ADDRESS(14,6))&amp;":"&amp;INDIRECT(ADDRESS(14,7))</f>
        <v>0:2</v>
      </c>
      <c r="I6" s="112">
        <f ca="1">IF(COUNT(F7:H7)=0,"",COUNTIF(F7:H7,"&gt;0")+0.5*COUNTIF(F7:H7,0))</f>
        <v>0</v>
      </c>
      <c r="J6" s="13"/>
      <c r="K6" s="120">
        <v>3</v>
      </c>
    </row>
    <row r="7" spans="1:14" ht="21" x14ac:dyDescent="0.25">
      <c r="A7" s="6"/>
      <c r="B7" s="91"/>
      <c r="C7" s="81"/>
      <c r="D7" s="82"/>
      <c r="E7" s="83"/>
      <c r="F7" s="19">
        <f ca="1">IF(LEN(INDIRECT(ADDRESS(ROW()-1, COLUMN())))=1,"",INDIRECT(ADDRESS(17,7))-INDIRECT(ADDRESS(17,6)))</f>
        <v>-1</v>
      </c>
      <c r="G7" s="20" t="s">
        <v>4</v>
      </c>
      <c r="H7" s="14">
        <f ca="1">IF(LEN(INDIRECT(ADDRESS(ROW()-1, COLUMN())))=1,"",INDIRECT(ADDRESS(14,6))-INDIRECT(ADDRESS(14,7)))</f>
        <v>-2</v>
      </c>
      <c r="I7" s="112"/>
      <c r="J7" s="13">
        <f ca="1">IF(COUNT(F7:H7)=0,"",SUM(F7:H7))</f>
        <v>-3</v>
      </c>
      <c r="K7" s="120"/>
    </row>
    <row r="8" spans="1:14" ht="21" x14ac:dyDescent="0.25">
      <c r="A8" s="6"/>
      <c r="B8" s="79">
        <v>3</v>
      </c>
      <c r="C8" s="93" t="s">
        <v>112</v>
      </c>
      <c r="D8" s="94"/>
      <c r="E8" s="95"/>
      <c r="F8" s="15" t="str">
        <f ca="1">INDIRECT(ADDRESS(20,6))&amp;":"&amp;INDIRECT(ADDRESS(20,7))</f>
        <v>2:1</v>
      </c>
      <c r="G8" s="17" t="str">
        <f ca="1">INDIRECT(ADDRESS(14,7))&amp;":"&amp;INDIRECT(ADDRESS(14,6))</f>
        <v>2:0</v>
      </c>
      <c r="H8" s="21" t="s">
        <v>4</v>
      </c>
      <c r="I8" s="112">
        <f ca="1">IF(COUNT(F9:H9)=0,"",COUNTIF(F9:H9,"&gt;0")+0.5*COUNTIF(F9:H9,0))</f>
        <v>2</v>
      </c>
      <c r="J8" s="13"/>
      <c r="K8" s="120">
        <v>1</v>
      </c>
    </row>
    <row r="9" spans="1:14" ht="21.75" thickBot="1" x14ac:dyDescent="0.3">
      <c r="A9" s="6"/>
      <c r="B9" s="80"/>
      <c r="C9" s="106"/>
      <c r="D9" s="107"/>
      <c r="E9" s="108"/>
      <c r="F9" s="22">
        <f ca="1">IF(LEN(INDIRECT(ADDRESS(ROW()-1, COLUMN())))=1,"",INDIRECT(ADDRESS(20,6))-INDIRECT(ADDRESS(20,7)))</f>
        <v>1</v>
      </c>
      <c r="G9" s="23">
        <f ca="1">IF(LEN(INDIRECT(ADDRESS(ROW()-1, COLUMN())))=1,"",INDIRECT(ADDRESS(14,7))-INDIRECT(ADDRESS(14,6)))</f>
        <v>2</v>
      </c>
      <c r="H9" s="24" t="s">
        <v>4</v>
      </c>
      <c r="I9" s="117"/>
      <c r="J9" s="23">
        <f ca="1">IF(COUNT(F9:H9)=0,"",SUM(F9:H9))</f>
        <v>3</v>
      </c>
      <c r="K9" s="121"/>
    </row>
    <row r="13" spans="1:14" ht="21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ht="18.75" x14ac:dyDescent="0.25">
      <c r="B14" s="6">
        <v>2</v>
      </c>
      <c r="C14" s="75" t="str">
        <f ca="1">IF(ISBLANK(INDIRECT(ADDRESS(B14*2+2,3))),"",INDIRECT(ADDRESS(B14*2+2,3)))</f>
        <v>Рылова Дария</v>
      </c>
      <c r="D14" s="75"/>
      <c r="E14" s="75"/>
      <c r="F14" s="55">
        <v>0</v>
      </c>
      <c r="G14" s="55">
        <v>2</v>
      </c>
      <c r="H14" s="75" t="str">
        <f ca="1">IF(ISBLANK(INDIRECT(ADDRESS(K14*2+2,3))),"",INDIRECT(ADDRESS(K14*2+2,3)))</f>
        <v>Ткаченко Анна</v>
      </c>
      <c r="I14" s="75"/>
      <c r="J14" s="75"/>
      <c r="K14" s="6">
        <v>3</v>
      </c>
      <c r="L14" s="56">
        <v>0.42569444444444443</v>
      </c>
      <c r="M14" s="56">
        <v>0.30069444444444443</v>
      </c>
      <c r="N14" s="56"/>
    </row>
    <row r="15" spans="1:14" ht="15.75" x14ac:dyDescent="0.25">
      <c r="L15" s="56"/>
      <c r="M15" s="56"/>
      <c r="N15" s="56"/>
    </row>
    <row r="17" spans="1:14" ht="18.75" x14ac:dyDescent="0.25">
      <c r="B17" s="6">
        <v>1</v>
      </c>
      <c r="C17" s="75" t="str">
        <f ca="1">IF(ISBLANK(INDIRECT(ADDRESS(B17*2+2,3))),"",INDIRECT(ADDRESS(B17*2+2,3)))</f>
        <v>Павлова Ирина</v>
      </c>
      <c r="D17" s="75"/>
      <c r="E17" s="75"/>
      <c r="F17" s="55">
        <v>2</v>
      </c>
      <c r="G17" s="55">
        <v>1</v>
      </c>
      <c r="H17" s="75" t="str">
        <f ca="1">IF(ISBLANK(INDIRECT(ADDRESS(K17*2+2,3))),"",INDIRECT(ADDRESS(K17*2+2,3)))</f>
        <v>Рылова Дария</v>
      </c>
      <c r="I17" s="75"/>
      <c r="J17" s="75"/>
      <c r="K17" s="6">
        <v>2</v>
      </c>
      <c r="L17" s="57" t="s">
        <v>115</v>
      </c>
      <c r="M17" s="57" t="s">
        <v>116</v>
      </c>
      <c r="N17" s="57" t="s">
        <v>117</v>
      </c>
    </row>
    <row r="18" spans="1:14" ht="15.75" x14ac:dyDescent="0.25">
      <c r="L18" s="57"/>
      <c r="M18" s="58"/>
      <c r="N18" s="59"/>
    </row>
    <row r="19" spans="1:14" x14ac:dyDescent="0.25">
      <c r="L19" s="60"/>
      <c r="M19" s="59"/>
      <c r="N19" s="59"/>
    </row>
    <row r="20" spans="1:14" ht="18.75" x14ac:dyDescent="0.25">
      <c r="B20" s="6">
        <v>3</v>
      </c>
      <c r="C20" s="75" t="str">
        <f ca="1">IF(ISBLANK(INDIRECT(ADDRESS(B20*2+2,3))),"",INDIRECT(ADDRESS(B20*2+2,3)))</f>
        <v>Ткаченко Анна</v>
      </c>
      <c r="D20" s="75"/>
      <c r="E20" s="75"/>
      <c r="F20" s="55">
        <v>2</v>
      </c>
      <c r="G20" s="55">
        <v>1</v>
      </c>
      <c r="H20" s="75" t="str">
        <f ca="1">IF(ISBLANK(INDIRECT(ADDRESS(K20*2+2,3))),"",INDIRECT(ADDRESS(K20*2+2,3)))</f>
        <v>Павлова Ирина</v>
      </c>
      <c r="I20" s="75"/>
      <c r="J20" s="75"/>
      <c r="K20" s="6">
        <v>1</v>
      </c>
      <c r="L20" s="57" t="s">
        <v>117</v>
      </c>
      <c r="M20" s="57" t="s">
        <v>118</v>
      </c>
      <c r="N20" s="57" t="s">
        <v>119</v>
      </c>
    </row>
    <row r="21" spans="1:14" ht="15.75" x14ac:dyDescent="0.25">
      <c r="L21" s="57"/>
      <c r="M21" s="57"/>
      <c r="N21" s="57"/>
    </row>
    <row r="22" spans="1:14" x14ac:dyDescent="0.25">
      <c r="L22" s="60"/>
      <c r="M22" s="59"/>
      <c r="N22" s="59"/>
    </row>
    <row r="23" spans="1:14" ht="21" x14ac:dyDescent="0.25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5" spans="1:14" ht="21" x14ac:dyDescent="0.25">
      <c r="A25" s="6"/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7" spans="1:14" ht="21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</row>
  </sheetData>
  <mergeCells count="24">
    <mergeCell ref="B23:K23"/>
    <mergeCell ref="B25:K25"/>
    <mergeCell ref="B27:K27"/>
    <mergeCell ref="B13:K13"/>
    <mergeCell ref="C14:E14"/>
    <mergeCell ref="H14:J14"/>
    <mergeCell ref="C17:E17"/>
    <mergeCell ref="H17:J17"/>
    <mergeCell ref="C20:E20"/>
    <mergeCell ref="H20:J20"/>
    <mergeCell ref="B6:B7"/>
    <mergeCell ref="C6:E7"/>
    <mergeCell ref="I6:I7"/>
    <mergeCell ref="K6:K7"/>
    <mergeCell ref="B8:B9"/>
    <mergeCell ref="C8:E9"/>
    <mergeCell ref="I8:I9"/>
    <mergeCell ref="K8:K9"/>
    <mergeCell ref="B1:K1"/>
    <mergeCell ref="C3:E3"/>
    <mergeCell ref="B4:B5"/>
    <mergeCell ref="C4:E5"/>
    <mergeCell ref="I4:I5"/>
    <mergeCell ref="K4:K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" sqref="B1:K1"/>
    </sheetView>
  </sheetViews>
  <sheetFormatPr defaultRowHeight="15" x14ac:dyDescent="0.25"/>
  <cols>
    <col min="1" max="1" width="4" customWidth="1"/>
    <col min="2" max="11" width="10.28515625" customWidth="1"/>
    <col min="12" max="12" width="10.28515625" style="33" customWidth="1"/>
    <col min="13" max="15" width="10.28515625" customWidth="1"/>
  </cols>
  <sheetData>
    <row r="1" spans="1:14" ht="45" x14ac:dyDescent="0.25">
      <c r="B1" s="97" t="s">
        <v>164</v>
      </c>
      <c r="C1" s="97"/>
      <c r="D1" s="97"/>
      <c r="E1" s="97"/>
      <c r="F1" s="97"/>
      <c r="G1" s="97"/>
      <c r="H1" s="97"/>
      <c r="I1" s="97"/>
      <c r="J1" s="97"/>
      <c r="K1" s="97"/>
    </row>
    <row r="2" spans="1:14" ht="15.75" thickBot="1" x14ac:dyDescent="0.3"/>
    <row r="3" spans="1:14" ht="15.75" thickBot="1" x14ac:dyDescent="0.3">
      <c r="A3" s="6"/>
      <c r="B3" s="41"/>
      <c r="C3" s="98" t="s">
        <v>0</v>
      </c>
      <c r="D3" s="99"/>
      <c r="E3" s="100"/>
      <c r="F3" s="2">
        <v>1</v>
      </c>
      <c r="G3" s="2">
        <v>2</v>
      </c>
      <c r="H3" s="3">
        <v>3</v>
      </c>
      <c r="I3" s="41" t="s">
        <v>1</v>
      </c>
      <c r="J3" s="2" t="s">
        <v>2</v>
      </c>
      <c r="K3" s="32" t="s">
        <v>3</v>
      </c>
    </row>
    <row r="4" spans="1:14" ht="21" x14ac:dyDescent="0.25">
      <c r="A4" s="6"/>
      <c r="B4" s="101">
        <v>1</v>
      </c>
      <c r="C4" s="109" t="s">
        <v>210</v>
      </c>
      <c r="D4" s="110"/>
      <c r="E4" s="111"/>
      <c r="F4" s="8" t="s">
        <v>4</v>
      </c>
      <c r="G4" s="9" t="str">
        <f ca="1">INDIRECT(ADDRESS(17,6))&amp;":"&amp;INDIRECT(ADDRESS(17,7))</f>
        <v>2:1</v>
      </c>
      <c r="H4" s="10" t="str">
        <f ca="1">INDIRECT(ADDRESS(20,7))&amp;":"&amp;INDIRECT(ADDRESS(20,6))</f>
        <v>2:1</v>
      </c>
      <c r="I4" s="123">
        <f ca="1">IF(COUNT(F5:H5)=0,"",COUNTIF(F5:H5,"&gt;0")+0.5*COUNTIF(F5:H5,0))</f>
        <v>2</v>
      </c>
      <c r="J4" s="11"/>
      <c r="K4" s="122">
        <v>1</v>
      </c>
    </row>
    <row r="5" spans="1:14" ht="2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COLUMN())))=1,"",INDIRECT(ADDRESS(17,6))-INDIRECT(ADDRESS(17,7)))</f>
        <v>1</v>
      </c>
      <c r="H5" s="14">
        <f ca="1">IF(LEN(INDIRECT(ADDRESS(ROW()-1, COLUMN())))=1,"",INDIRECT(ADDRESS(20,7))-INDIRECT(ADDRESS(20,6)))</f>
        <v>1</v>
      </c>
      <c r="I5" s="112"/>
      <c r="J5" s="13">
        <f ca="1">IF(COUNT(F5:H5)=0,"",SUM(F5:H5))</f>
        <v>2</v>
      </c>
      <c r="K5" s="120"/>
    </row>
    <row r="6" spans="1:14" ht="21" x14ac:dyDescent="0.25">
      <c r="A6" s="6"/>
      <c r="B6" s="79">
        <v>2</v>
      </c>
      <c r="C6" s="81" t="s">
        <v>208</v>
      </c>
      <c r="D6" s="82"/>
      <c r="E6" s="83"/>
      <c r="F6" s="15" t="str">
        <f ca="1">INDIRECT(ADDRESS(17,7))&amp;":"&amp;INDIRECT(ADDRESS(17,6))</f>
        <v>1:2</v>
      </c>
      <c r="G6" s="16" t="s">
        <v>4</v>
      </c>
      <c r="H6" s="18" t="str">
        <f ca="1">INDIRECT(ADDRESS(14,6))&amp;":"&amp;INDIRECT(ADDRESS(14,7))</f>
        <v>0:2</v>
      </c>
      <c r="I6" s="112">
        <f ca="1">IF(COUNT(F7:H7)=0,"",COUNTIF(F7:H7,"&gt;0")+0.5*COUNTIF(F7:H7,0))</f>
        <v>0</v>
      </c>
      <c r="J6" s="13"/>
      <c r="K6" s="120">
        <v>3</v>
      </c>
    </row>
    <row r="7" spans="1:14" ht="21" x14ac:dyDescent="0.25">
      <c r="A7" s="6"/>
      <c r="B7" s="91"/>
      <c r="C7" s="81"/>
      <c r="D7" s="82"/>
      <c r="E7" s="83"/>
      <c r="F7" s="19">
        <f ca="1">IF(LEN(INDIRECT(ADDRESS(ROW()-1, COLUMN())))=1,"",INDIRECT(ADDRESS(17,7))-INDIRECT(ADDRESS(17,6)))</f>
        <v>-1</v>
      </c>
      <c r="G7" s="20" t="s">
        <v>4</v>
      </c>
      <c r="H7" s="14">
        <f ca="1">IF(LEN(INDIRECT(ADDRESS(ROW()-1, COLUMN())))=1,"",INDIRECT(ADDRESS(14,6))-INDIRECT(ADDRESS(14,7)))</f>
        <v>-2</v>
      </c>
      <c r="I7" s="112"/>
      <c r="J7" s="13">
        <f ca="1">IF(COUNT(F7:H7)=0,"",SUM(F7:H7))</f>
        <v>-3</v>
      </c>
      <c r="K7" s="120"/>
    </row>
    <row r="8" spans="1:14" ht="21" x14ac:dyDescent="0.25">
      <c r="A8" s="6"/>
      <c r="B8" s="79">
        <v>3</v>
      </c>
      <c r="C8" s="81" t="s">
        <v>209</v>
      </c>
      <c r="D8" s="82"/>
      <c r="E8" s="83"/>
      <c r="F8" s="15" t="str">
        <f ca="1">INDIRECT(ADDRESS(20,6))&amp;":"&amp;INDIRECT(ADDRESS(20,7))</f>
        <v>1:2</v>
      </c>
      <c r="G8" s="17" t="str">
        <f ca="1">INDIRECT(ADDRESS(14,7))&amp;":"&amp;INDIRECT(ADDRESS(14,6))</f>
        <v>2:0</v>
      </c>
      <c r="H8" s="21" t="s">
        <v>4</v>
      </c>
      <c r="I8" s="112">
        <f ca="1">IF(COUNT(F9:H9)=0,"",COUNTIF(F9:H9,"&gt;0")+0.5*COUNTIF(F9:H9,0))</f>
        <v>1</v>
      </c>
      <c r="J8" s="13"/>
      <c r="K8" s="120">
        <v>2</v>
      </c>
    </row>
    <row r="9" spans="1:14" ht="21.75" thickBot="1" x14ac:dyDescent="0.3">
      <c r="A9" s="6"/>
      <c r="B9" s="80"/>
      <c r="C9" s="84"/>
      <c r="D9" s="85"/>
      <c r="E9" s="86"/>
      <c r="F9" s="22">
        <f ca="1">IF(LEN(INDIRECT(ADDRESS(ROW()-1, COLUMN())))=1,"",INDIRECT(ADDRESS(20,6))-INDIRECT(ADDRESS(20,7)))</f>
        <v>-1</v>
      </c>
      <c r="G9" s="23">
        <f ca="1">IF(LEN(INDIRECT(ADDRESS(ROW()-1, COLUMN())))=1,"",INDIRECT(ADDRESS(14,7))-INDIRECT(ADDRESS(14,6)))</f>
        <v>2</v>
      </c>
      <c r="H9" s="24" t="s">
        <v>4</v>
      </c>
      <c r="I9" s="117"/>
      <c r="J9" s="23">
        <f ca="1">IF(COUNT(F9:H9)=0,"",SUM(F9:H9))</f>
        <v>1</v>
      </c>
      <c r="K9" s="121"/>
    </row>
    <row r="13" spans="1:14" ht="21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ht="18.75" x14ac:dyDescent="0.25">
      <c r="B14" s="6">
        <v>2</v>
      </c>
      <c r="C14" s="75" t="str">
        <f ca="1">IF(ISBLANK(INDIRECT(ADDRESS(B14*2+2,3))),"",INDIRECT(ADDRESS(B14*2+2,3)))</f>
        <v>Алкина Светлана</v>
      </c>
      <c r="D14" s="75"/>
      <c r="E14" s="75"/>
      <c r="F14" s="55">
        <v>0</v>
      </c>
      <c r="G14" s="55">
        <v>2</v>
      </c>
      <c r="H14" s="75" t="str">
        <f ca="1">IF(ISBLANK(INDIRECT(ADDRESS(K14*2+2,3))),"",INDIRECT(ADDRESS(K14*2+2,3)))</f>
        <v>Баринова Светлана</v>
      </c>
      <c r="I14" s="75"/>
      <c r="J14" s="75"/>
      <c r="K14" s="6">
        <v>3</v>
      </c>
      <c r="L14" s="56">
        <v>0.34236111111111112</v>
      </c>
      <c r="M14" s="56">
        <v>0.42569444444444443</v>
      </c>
      <c r="N14" s="56"/>
    </row>
    <row r="15" spans="1:14" ht="15.75" x14ac:dyDescent="0.25">
      <c r="L15" s="56"/>
      <c r="M15" s="56"/>
      <c r="N15" s="56"/>
    </row>
    <row r="17" spans="1:14" ht="18.75" x14ac:dyDescent="0.25">
      <c r="B17" s="6">
        <v>1</v>
      </c>
      <c r="C17" s="75" t="str">
        <f ca="1">IF(ISBLANK(INDIRECT(ADDRESS(B17*2+2,3))),"",INDIRECT(ADDRESS(B17*2+2,3)))</f>
        <v>Корнеевская Анна</v>
      </c>
      <c r="D17" s="75"/>
      <c r="E17" s="75"/>
      <c r="F17" s="55">
        <v>2</v>
      </c>
      <c r="G17" s="55">
        <v>1</v>
      </c>
      <c r="H17" s="75" t="str">
        <f ca="1">IF(ISBLANK(INDIRECT(ADDRESS(K17*2+2,3))),"",INDIRECT(ADDRESS(K17*2+2,3)))</f>
        <v>Алкина Светлана</v>
      </c>
      <c r="I17" s="75"/>
      <c r="J17" s="75"/>
      <c r="K17" s="6">
        <v>2</v>
      </c>
      <c r="L17" s="57" t="s">
        <v>211</v>
      </c>
      <c r="M17" s="57" t="s">
        <v>212</v>
      </c>
      <c r="N17" s="57" t="s">
        <v>115</v>
      </c>
    </row>
    <row r="18" spans="1:14" ht="15.75" x14ac:dyDescent="0.25">
      <c r="L18" s="57"/>
      <c r="M18" s="58"/>
      <c r="N18" s="59"/>
    </row>
    <row r="19" spans="1:14" x14ac:dyDescent="0.25">
      <c r="L19" s="60"/>
      <c r="M19" s="59"/>
      <c r="N19" s="59"/>
    </row>
    <row r="20" spans="1:14" ht="18.75" x14ac:dyDescent="0.25">
      <c r="B20" s="6">
        <v>3</v>
      </c>
      <c r="C20" s="75" t="str">
        <f ca="1">IF(ISBLANK(INDIRECT(ADDRESS(B20*2+2,3))),"",INDIRECT(ADDRESS(B20*2+2,3)))</f>
        <v>Баринова Светлана</v>
      </c>
      <c r="D20" s="75"/>
      <c r="E20" s="75"/>
      <c r="F20" s="55">
        <v>1</v>
      </c>
      <c r="G20" s="55">
        <v>2</v>
      </c>
      <c r="H20" s="75" t="str">
        <f ca="1">IF(ISBLANK(INDIRECT(ADDRESS(K20*2+2,3))),"",INDIRECT(ADDRESS(K20*2+2,3)))</f>
        <v>Корнеевская Анна</v>
      </c>
      <c r="I20" s="75"/>
      <c r="J20" s="75"/>
      <c r="K20" s="6">
        <v>1</v>
      </c>
      <c r="L20" s="57" t="s">
        <v>117</v>
      </c>
      <c r="M20" s="57" t="s">
        <v>213</v>
      </c>
      <c r="N20" s="57" t="s">
        <v>117</v>
      </c>
    </row>
    <row r="21" spans="1:14" ht="15.75" x14ac:dyDescent="0.25">
      <c r="L21" s="57"/>
      <c r="M21" s="57"/>
      <c r="N21" s="57"/>
    </row>
    <row r="22" spans="1:14" x14ac:dyDescent="0.25">
      <c r="L22" s="60"/>
      <c r="M22" s="59"/>
      <c r="N22" s="59"/>
    </row>
    <row r="23" spans="1:14" ht="21" x14ac:dyDescent="0.25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5" spans="1:14" ht="21" x14ac:dyDescent="0.25">
      <c r="A25" s="6"/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7" spans="1:14" ht="21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</row>
  </sheetData>
  <mergeCells count="24">
    <mergeCell ref="B1:K1"/>
    <mergeCell ref="C3:E3"/>
    <mergeCell ref="B4:B5"/>
    <mergeCell ref="C4:E5"/>
    <mergeCell ref="I4:I5"/>
    <mergeCell ref="K4:K5"/>
    <mergeCell ref="B6:B7"/>
    <mergeCell ref="C6:E7"/>
    <mergeCell ref="I6:I7"/>
    <mergeCell ref="K6:K7"/>
    <mergeCell ref="B8:B9"/>
    <mergeCell ref="C8:E9"/>
    <mergeCell ref="I8:I9"/>
    <mergeCell ref="K8:K9"/>
    <mergeCell ref="B23:K23"/>
    <mergeCell ref="B25:K25"/>
    <mergeCell ref="B27:K27"/>
    <mergeCell ref="B13:K13"/>
    <mergeCell ref="C14:E14"/>
    <mergeCell ref="H14:J14"/>
    <mergeCell ref="C17:E17"/>
    <mergeCell ref="H17:J17"/>
    <mergeCell ref="C20:E20"/>
    <mergeCell ref="H20:J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4">
      <c r="B1" s="97" t="s">
        <v>215</v>
      </c>
      <c r="C1" s="97"/>
      <c r="D1" s="97"/>
      <c r="E1" s="97"/>
      <c r="F1" s="97"/>
      <c r="G1" s="97"/>
      <c r="H1" s="97"/>
      <c r="I1" s="97"/>
      <c r="J1" s="97"/>
      <c r="K1" s="97"/>
      <c r="L1" s="69" t="s">
        <v>214</v>
      </c>
      <c r="M1"/>
    </row>
    <row r="2" spans="1:14" ht="15.75" thickBot="1" x14ac:dyDescent="0.3">
      <c r="M2"/>
    </row>
    <row r="3" spans="1:14" ht="30" customHeight="1" thickBot="1" x14ac:dyDescent="0.3">
      <c r="B3" s="62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2" t="s">
        <v>184</v>
      </c>
      <c r="D4" s="103"/>
      <c r="E4" s="104"/>
      <c r="F4" s="8" t="s">
        <v>4</v>
      </c>
      <c r="G4" s="9" t="str">
        <f ca="1">INDIRECT(ADDRESS(27,6))&amp;":"&amp;INDIRECT(ADDRESS(27,7))</f>
        <v>13:10</v>
      </c>
      <c r="H4" s="9" t="str">
        <f ca="1">INDIRECT(ADDRESS(31,7))&amp;":"&amp;INDIRECT(ADDRESS(31,6))</f>
        <v>8:13</v>
      </c>
      <c r="I4" s="9" t="str">
        <f ca="1">INDIRECT(ADDRESS(36,6))&amp;":"&amp;INDIRECT(ADDRESS(36,7))</f>
        <v>3:13</v>
      </c>
      <c r="J4" s="9" t="str">
        <f ca="1">INDIRECT(ADDRESS(42,7))&amp;":"&amp;INDIRECT(ADDRESS(42,6))</f>
        <v>13:3</v>
      </c>
      <c r="K4" s="10" t="str">
        <f ca="1">INDIRECT(ADDRESS(20,6))&amp;":"&amp;INDIRECT(ADDRESS(20,7))</f>
        <v>10:13</v>
      </c>
      <c r="L4" s="105">
        <f ca="1">IF(COUNT(F5:K5)=0,"",COUNTIF(F5:K5,"&gt;0")+0.5*COUNTIF(F5:K5,0))</f>
        <v>2</v>
      </c>
      <c r="M4" s="11"/>
      <c r="N4" s="96">
        <v>4</v>
      </c>
    </row>
    <row r="5" spans="1:14" ht="24" customHeight="1" x14ac:dyDescent="0.25">
      <c r="A5" s="6"/>
      <c r="B5" s="91"/>
      <c r="C5" s="81"/>
      <c r="D5" s="82"/>
      <c r="E5" s="83"/>
      <c r="F5" s="12" t="s">
        <v>4</v>
      </c>
      <c r="G5" s="13">
        <f ca="1">IF(LEN(INDIRECT(ADDRESS(ROW()-1, COLUMN())))=1,"",INDIRECT(ADDRESS(27,6))-INDIRECT(ADDRESS(27,7)))</f>
        <v>3</v>
      </c>
      <c r="H5" s="13">
        <f ca="1">IF(LEN(INDIRECT(ADDRESS(ROW()-1, COLUMN())))=1,"",INDIRECT(ADDRESS(31,7))-INDIRECT(ADDRESS(31,6)))</f>
        <v>-5</v>
      </c>
      <c r="I5" s="13">
        <f ca="1">IF(LEN(INDIRECT(ADDRESS(ROW()-1, COLUMN())))=1,"",INDIRECT(ADDRESS(36,6))-INDIRECT(ADDRESS(36,7)))</f>
        <v>-10</v>
      </c>
      <c r="J5" s="13">
        <f ca="1">IF(LEN(INDIRECT(ADDRESS(ROW()-1, COLUMN())))=1,"",INDIRECT(ADDRESS(42,7))-INDIRECT(ADDRESS(42,6)))</f>
        <v>10</v>
      </c>
      <c r="K5" s="14">
        <f ca="1">IF(LEN(INDIRECT(ADDRESS(ROW()-1, COLUMN())))=1,"",INDIRECT(ADDRESS(20,6))-INDIRECT(ADDRESS(20,7)))</f>
        <v>-3</v>
      </c>
      <c r="L5" s="87"/>
      <c r="M5" s="13">
        <f ca="1">IF(COUNT(F5:K5)=0,"",SUM(F5:K5))</f>
        <v>-5</v>
      </c>
      <c r="N5" s="92"/>
    </row>
    <row r="6" spans="1:14" ht="24" customHeight="1" x14ac:dyDescent="0.25">
      <c r="A6" s="6"/>
      <c r="B6" s="79">
        <v>2</v>
      </c>
      <c r="C6" s="81" t="s">
        <v>226</v>
      </c>
      <c r="D6" s="82"/>
      <c r="E6" s="83"/>
      <c r="F6" s="15" t="str">
        <f ca="1">INDIRECT(ADDRESS(27,7))&amp;":"&amp;INDIRECT(ADDRESS(27,6))</f>
        <v>10:13</v>
      </c>
      <c r="G6" s="16" t="s">
        <v>4</v>
      </c>
      <c r="H6" s="17" t="str">
        <f ca="1">INDIRECT(ADDRESS(37,6))&amp;":"&amp;INDIRECT(ADDRESS(37,7))</f>
        <v>13:12</v>
      </c>
      <c r="I6" s="17" t="str">
        <f ca="1">INDIRECT(ADDRESS(41,7))&amp;":"&amp;INDIRECT(ADDRESS(41,6))</f>
        <v>6:13</v>
      </c>
      <c r="J6" s="17" t="str">
        <f ca="1">INDIRECT(ADDRESS(21,6))&amp;":"&amp;INDIRECT(ADDRESS(21,7))</f>
        <v>13:9</v>
      </c>
      <c r="K6" s="18" t="str">
        <f ca="1">INDIRECT(ADDRESS(30,6))&amp;":"&amp;INDIRECT(ADDRESS(30,7))</f>
        <v>11:13</v>
      </c>
      <c r="L6" s="87">
        <f ca="1">IF(COUNT(F7:K7)=0,"",COUNTIF(F7:K7,"&gt;0")+0.5*COUNTIF(F7:K7,0))</f>
        <v>2</v>
      </c>
      <c r="M6" s="13"/>
      <c r="N6" s="89">
        <v>5</v>
      </c>
    </row>
    <row r="7" spans="1:14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COLUMN())))=1,"",INDIRECT(ADDRESS(27,7))-INDIRECT(ADDRESS(27,6)))</f>
        <v>-3</v>
      </c>
      <c r="G7" s="20" t="s">
        <v>4</v>
      </c>
      <c r="H7" s="13">
        <f ca="1">IF(LEN(INDIRECT(ADDRESS(ROW()-1, COLUMN())))=1,"",INDIRECT(ADDRESS(37,6))-INDIRECT(ADDRESS(37,7)))</f>
        <v>1</v>
      </c>
      <c r="I7" s="13">
        <f ca="1">IF(LEN(INDIRECT(ADDRESS(ROW()-1, COLUMN())))=1,"",INDIRECT(ADDRESS(41,7))-INDIRECT(ADDRESS(41,6)))</f>
        <v>-7</v>
      </c>
      <c r="J7" s="13">
        <f ca="1">IF(LEN(INDIRECT(ADDRESS(ROW()-1, COLUMN())))=1,"",INDIRECT(ADDRESS(21,6))-INDIRECT(ADDRESS(21,7)))</f>
        <v>4</v>
      </c>
      <c r="K7" s="14">
        <f ca="1">IF(LEN(INDIRECT(ADDRESS(ROW()-1, COLUMN())))=1,"",INDIRECT(ADDRESS(30,6))-INDIRECT(ADDRESS(30,7)))</f>
        <v>-2</v>
      </c>
      <c r="L7" s="87"/>
      <c r="M7" s="13">
        <f ca="1">IF(COUNT(F7:K7)=0,"",SUM(F7:K7))</f>
        <v>-7</v>
      </c>
      <c r="N7" s="92"/>
    </row>
    <row r="8" spans="1:14" ht="24" customHeight="1" x14ac:dyDescent="0.25">
      <c r="A8" s="6"/>
      <c r="B8" s="79">
        <v>3</v>
      </c>
      <c r="C8" s="93" t="s">
        <v>227</v>
      </c>
      <c r="D8" s="94"/>
      <c r="E8" s="95"/>
      <c r="F8" s="15" t="str">
        <f ca="1">INDIRECT(ADDRESS(31,6))&amp;":"&amp;INDIRECT(ADDRESS(31,7))</f>
        <v>13:8</v>
      </c>
      <c r="G8" s="17" t="str">
        <f ca="1">INDIRECT(ADDRESS(37,7))&amp;":"&amp;INDIRECT(ADDRESS(37,6))</f>
        <v>12:13</v>
      </c>
      <c r="H8" s="16" t="s">
        <v>4</v>
      </c>
      <c r="I8" s="17" t="str">
        <f ca="1">INDIRECT(ADDRESS(22,6))&amp;":"&amp;INDIRECT(ADDRESS(22,7))</f>
        <v>8:13</v>
      </c>
      <c r="J8" s="17" t="str">
        <f ca="1">INDIRECT(ADDRESS(26,7))&amp;":"&amp;INDIRECT(ADDRESS(26,6))</f>
        <v>13:3</v>
      </c>
      <c r="K8" s="18" t="str">
        <f ca="1">INDIRECT(ADDRESS(40,6))&amp;":"&amp;INDIRECT(ADDRESS(40,7))</f>
        <v>13:9</v>
      </c>
      <c r="L8" s="87">
        <f ca="1">IF(COUNT(F9:K9)=0,"",COUNTIF(F9:K9,"&gt;0")+0.5*COUNTIF(F9:K9,0))</f>
        <v>3</v>
      </c>
      <c r="M8" s="13"/>
      <c r="N8" s="89">
        <v>2</v>
      </c>
    </row>
    <row r="9" spans="1:14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COLUMN())))=1,"",INDIRECT(ADDRESS(31,6))-INDIRECT(ADDRESS(31,7)))</f>
        <v>5</v>
      </c>
      <c r="G9" s="13">
        <f ca="1">IF(LEN(INDIRECT(ADDRESS(ROW()-1, COLUMN())))=1,"",INDIRECT(ADDRESS(37,7))-INDIRECT(ADDRESS(37,6)))</f>
        <v>-1</v>
      </c>
      <c r="H9" s="20" t="s">
        <v>4</v>
      </c>
      <c r="I9" s="13">
        <f ca="1">IF(LEN(INDIRECT(ADDRESS(ROW()-1, COLUMN())))=1,"",INDIRECT(ADDRESS(22,6))-INDIRECT(ADDRESS(22,7)))</f>
        <v>-5</v>
      </c>
      <c r="J9" s="13">
        <f ca="1">IF(LEN(INDIRECT(ADDRESS(ROW()-1, COLUMN())))=1,"",INDIRECT(ADDRESS(26,7))-INDIRECT(ADDRESS(26,6)))</f>
        <v>10</v>
      </c>
      <c r="K9" s="14">
        <f ca="1">IF(LEN(INDIRECT(ADDRESS(ROW()-1, COLUMN())))=1,"",INDIRECT(ADDRESS(40,6))-INDIRECT(ADDRESS(40,7)))</f>
        <v>4</v>
      </c>
      <c r="L9" s="87"/>
      <c r="M9" s="13">
        <f ca="1">IF(COUNT(F9:K9)=0,"",SUM(F9:K9))</f>
        <v>13</v>
      </c>
      <c r="N9" s="92"/>
    </row>
    <row r="10" spans="1:14" ht="24" customHeight="1" x14ac:dyDescent="0.25">
      <c r="A10" s="6"/>
      <c r="B10" s="79">
        <v>4</v>
      </c>
      <c r="C10" s="93" t="s">
        <v>228</v>
      </c>
      <c r="D10" s="94"/>
      <c r="E10" s="95"/>
      <c r="F10" s="15" t="str">
        <f ca="1">INDIRECT(ADDRESS(36,7))&amp;":"&amp;INDIRECT(ADDRESS(36,6))</f>
        <v>13:3</v>
      </c>
      <c r="G10" s="17" t="str">
        <f ca="1">INDIRECT(ADDRESS(41,6))&amp;":"&amp;INDIRECT(ADDRESS(41,7))</f>
        <v>13:6</v>
      </c>
      <c r="H10" s="17" t="str">
        <f ca="1">INDIRECT(ADDRESS(22,7))&amp;":"&amp;INDIRECT(ADDRESS(22,6))</f>
        <v>13:8</v>
      </c>
      <c r="I10" s="16" t="s">
        <v>4</v>
      </c>
      <c r="J10" s="17" t="str">
        <f ca="1">INDIRECT(ADDRESS(32,6))&amp;":"&amp;INDIRECT(ADDRESS(32,7))</f>
        <v>13:3</v>
      </c>
      <c r="K10" s="18" t="str">
        <f ca="1">INDIRECT(ADDRESS(25,7))&amp;":"&amp;INDIRECT(ADDRESS(25,6))</f>
        <v>13:4</v>
      </c>
      <c r="L10" s="87">
        <f ca="1">IF(COUNT(F11:K11)=0,"",COUNTIF(F11:K11,"&gt;0")+0.5*COUNTIF(F11:K11,0))</f>
        <v>5</v>
      </c>
      <c r="M10" s="13"/>
      <c r="N10" s="89">
        <v>1</v>
      </c>
    </row>
    <row r="11" spans="1:14" ht="24" customHeight="1" x14ac:dyDescent="0.25">
      <c r="A11" s="6"/>
      <c r="B11" s="91"/>
      <c r="C11" s="93"/>
      <c r="D11" s="94"/>
      <c r="E11" s="95"/>
      <c r="F11" s="19">
        <f ca="1">IF(LEN(INDIRECT(ADDRESS(ROW()-1, COLUMN())))=1,"",INDIRECT(ADDRESS(36,7))-INDIRECT(ADDRESS(36,6)))</f>
        <v>10</v>
      </c>
      <c r="G11" s="13">
        <f ca="1">IF(LEN(INDIRECT(ADDRESS(ROW()-1, COLUMN())))=1,"",INDIRECT(ADDRESS(41,6))-INDIRECT(ADDRESS(41,7)))</f>
        <v>7</v>
      </c>
      <c r="H11" s="13">
        <f ca="1">IF(LEN(INDIRECT(ADDRESS(ROW()-1, COLUMN())))=1,"",INDIRECT(ADDRESS(22,7))-INDIRECT(ADDRESS(22,6)))</f>
        <v>5</v>
      </c>
      <c r="I11" s="20" t="s">
        <v>4</v>
      </c>
      <c r="J11" s="13">
        <f ca="1">IF(LEN(INDIRECT(ADDRESS(ROW()-1, COLUMN())))=1,"",INDIRECT(ADDRESS(32,6))-INDIRECT(ADDRESS(32,7)))</f>
        <v>10</v>
      </c>
      <c r="K11" s="14">
        <f ca="1">IF(LEN(INDIRECT(ADDRESS(ROW()-1, COLUMN())))=1,"",INDIRECT(ADDRESS(25,7))-INDIRECT(ADDRESS(25,6)))</f>
        <v>9</v>
      </c>
      <c r="L11" s="87"/>
      <c r="M11" s="13">
        <f ca="1">IF(COUNT(F11:K11)=0,"",SUM(F11:K11))</f>
        <v>41</v>
      </c>
      <c r="N11" s="92"/>
    </row>
    <row r="12" spans="1:14" ht="24" customHeight="1" x14ac:dyDescent="0.25">
      <c r="A12" s="6"/>
      <c r="B12" s="79">
        <v>5</v>
      </c>
      <c r="C12" s="81" t="s">
        <v>229</v>
      </c>
      <c r="D12" s="82"/>
      <c r="E12" s="83"/>
      <c r="F12" s="15" t="str">
        <f ca="1">INDIRECT(ADDRESS(42,6))&amp;":"&amp;INDIRECT(ADDRESS(42,7))</f>
        <v>3:13</v>
      </c>
      <c r="G12" s="17" t="str">
        <f ca="1">INDIRECT(ADDRESS(21,7))&amp;":"&amp;INDIRECT(ADDRESS(21,6))</f>
        <v>9:13</v>
      </c>
      <c r="H12" s="17" t="str">
        <f ca="1">INDIRECT(ADDRESS(26,6))&amp;":"&amp;INDIRECT(ADDRESS(26,7))</f>
        <v>3:13</v>
      </c>
      <c r="I12" s="17" t="str">
        <f ca="1">INDIRECT(ADDRESS(32,7))&amp;":"&amp;INDIRECT(ADDRESS(32,6))</f>
        <v>3:13</v>
      </c>
      <c r="J12" s="16" t="s">
        <v>4</v>
      </c>
      <c r="K12" s="18" t="str">
        <f ca="1">INDIRECT(ADDRESS(35,7))&amp;":"&amp;INDIRECT(ADDRESS(35,6))</f>
        <v>7:13</v>
      </c>
      <c r="L12" s="87">
        <f ca="1">IF(COUNT(F13:K13)=0,"",COUNTIF(F13:K13,"&gt;0")+0.5*COUNTIF(F13:K13,0))</f>
        <v>0</v>
      </c>
      <c r="M12" s="13"/>
      <c r="N12" s="89">
        <v>6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-10</v>
      </c>
      <c r="G13" s="13">
        <f ca="1">IF(LEN(INDIRECT(ADDRESS(ROW()-1, COLUMN())))=1,"",INDIRECT(ADDRESS(21,7))-INDIRECT(ADDRESS(21,6)))</f>
        <v>-4</v>
      </c>
      <c r="H13" s="13">
        <f ca="1">IF(LEN(INDIRECT(ADDRESS(ROW()-1, COLUMN())))=1,"",INDIRECT(ADDRESS(26,6))-INDIRECT(ADDRESS(26,7)))</f>
        <v>-10</v>
      </c>
      <c r="I13" s="13">
        <f ca="1">IF(LEN(INDIRECT(ADDRESS(ROW()-1, COLUMN())))=1,"",INDIRECT(ADDRESS(32,7))-INDIRECT(ADDRESS(32,6)))</f>
        <v>-10</v>
      </c>
      <c r="J13" s="20" t="s">
        <v>4</v>
      </c>
      <c r="K13" s="14">
        <f ca="1">IF(LEN(INDIRECT(ADDRESS(ROW()-1, COLUMN())))=1,"",INDIRECT(ADDRESS(35,7))-INDIRECT(ADDRESS(35,6)))</f>
        <v>-6</v>
      </c>
      <c r="L13" s="87"/>
      <c r="M13" s="13">
        <f ca="1">IF(COUNT(F13:K13)=0,"",SUM(F13:K13))</f>
        <v>-40</v>
      </c>
      <c r="N13" s="92"/>
    </row>
    <row r="14" spans="1:14" ht="24" customHeight="1" x14ac:dyDescent="0.25">
      <c r="A14" s="6"/>
      <c r="B14" s="79">
        <v>6</v>
      </c>
      <c r="C14" s="93" t="s">
        <v>230</v>
      </c>
      <c r="D14" s="94"/>
      <c r="E14" s="95"/>
      <c r="F14" s="15" t="str">
        <f ca="1">INDIRECT(ADDRESS(20,7))&amp;":"&amp;INDIRECT(ADDRESS(20,6))</f>
        <v>13:10</v>
      </c>
      <c r="G14" s="17" t="str">
        <f ca="1">INDIRECT(ADDRESS(30,7))&amp;":"&amp;INDIRECT(ADDRESS(30,6))</f>
        <v>13:11</v>
      </c>
      <c r="H14" s="17" t="str">
        <f ca="1">INDIRECT(ADDRESS(40,7))&amp;":"&amp;INDIRECT(ADDRESS(40,6))</f>
        <v>9:13</v>
      </c>
      <c r="I14" s="17" t="str">
        <f ca="1">INDIRECT(ADDRESS(25,6))&amp;":"&amp;INDIRECT(ADDRESS(25,7))</f>
        <v>4:13</v>
      </c>
      <c r="J14" s="17" t="str">
        <f ca="1">INDIRECT(ADDRESS(35,6))&amp;":"&amp;INDIRECT(ADDRESS(35,7))</f>
        <v>13:7</v>
      </c>
      <c r="K14" s="21" t="s">
        <v>4</v>
      </c>
      <c r="L14" s="87">
        <f ca="1">IF(COUNT(F15:K15)=0,"",COUNTIF(F15:K15,"&gt;0")+0.5*COUNTIF(F15:K15,0))</f>
        <v>3</v>
      </c>
      <c r="M14" s="13"/>
      <c r="N14" s="89">
        <v>3</v>
      </c>
    </row>
    <row r="15" spans="1:14" ht="24" customHeight="1" thickBot="1" x14ac:dyDescent="0.3">
      <c r="A15" s="6"/>
      <c r="B15" s="80"/>
      <c r="C15" s="106"/>
      <c r="D15" s="107"/>
      <c r="E15" s="108"/>
      <c r="F15" s="22">
        <f ca="1">IF(LEN(INDIRECT(ADDRESS(ROW()-1, COLUMN())))=1,"",INDIRECT(ADDRESS(20,7))-INDIRECT(ADDRESS(20,6)))</f>
        <v>3</v>
      </c>
      <c r="G15" s="23">
        <f ca="1">IF(LEN(INDIRECT(ADDRESS(ROW()-1, COLUMN())))=1,"",INDIRECT(ADDRESS(30,7))-INDIRECT(ADDRESS(30,6)))</f>
        <v>2</v>
      </c>
      <c r="H15" s="23">
        <f ca="1">IF(LEN(INDIRECT(ADDRESS(ROW()-1, COLUMN())))=1,"",INDIRECT(ADDRESS(40,7))-INDIRECT(ADDRESS(40,6)))</f>
        <v>-4</v>
      </c>
      <c r="I15" s="23">
        <f ca="1">IF(LEN(INDIRECT(ADDRESS(ROW()-1, COLUMN())))=1,"",INDIRECT(ADDRESS(25,6))-INDIRECT(ADDRESS(25,7)))</f>
        <v>-9</v>
      </c>
      <c r="J15" s="23">
        <f ca="1">IF(LEN(INDIRECT(ADDRESS(ROW()-1, COLUMN())))=1,"",INDIRECT(ADDRESS(35,6))-INDIRECT(ADDRESS(35,7)))</f>
        <v>6</v>
      </c>
      <c r="K15" s="24" t="s">
        <v>4</v>
      </c>
      <c r="L15" s="88"/>
      <c r="M15" s="23">
        <f ca="1">IF(COUNT(F15:K15)=0,"",SUM(F15:K15))</f>
        <v>-2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Комаров Александр</v>
      </c>
      <c r="D20" s="75"/>
      <c r="E20" s="76"/>
      <c r="F20" s="26">
        <v>10</v>
      </c>
      <c r="G20" s="27">
        <v>13</v>
      </c>
      <c r="H20" s="77" t="str">
        <f ca="1">IF(ISBLANK(INDIRECT(ADDRESS(K20*2+2,3))),"",INDIRECT(ADDRESS(K20*2+2,3)))</f>
        <v>Костин</v>
      </c>
      <c r="I20" s="75"/>
      <c r="J20" s="75"/>
      <c r="K20" s="25">
        <v>6</v>
      </c>
      <c r="L20" s="28" t="s">
        <v>6</v>
      </c>
      <c r="M20" s="29"/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Чашин</v>
      </c>
      <c r="D21" s="75"/>
      <c r="E21" s="76"/>
      <c r="F21" s="26">
        <v>13</v>
      </c>
      <c r="G21" s="27">
        <v>9</v>
      </c>
      <c r="H21" s="77" t="str">
        <f ca="1">IF(ISBLANK(INDIRECT(ADDRESS(K21*2+2,3))),"",INDIRECT(ADDRESS(K21*2+2,3)))</f>
        <v>Базарев</v>
      </c>
      <c r="I21" s="75"/>
      <c r="J21" s="75"/>
      <c r="K21" s="25">
        <v>5</v>
      </c>
      <c r="L21" s="28" t="s">
        <v>6</v>
      </c>
      <c r="M21" s="29"/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Уткин</v>
      </c>
      <c r="D22" s="75"/>
      <c r="E22" s="76"/>
      <c r="F22" s="26">
        <v>8</v>
      </c>
      <c r="G22" s="27">
        <v>13</v>
      </c>
      <c r="H22" s="77" t="str">
        <f ca="1">IF(ISBLANK(INDIRECT(ADDRESS(K22*2+2,3))),"",INDIRECT(ADDRESS(K22*2+2,3)))</f>
        <v>Судник</v>
      </c>
      <c r="I22" s="75"/>
      <c r="J22" s="75"/>
      <c r="K22" s="25">
        <v>4</v>
      </c>
      <c r="L22" s="28" t="s">
        <v>6</v>
      </c>
      <c r="M22" s="29"/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Костин</v>
      </c>
      <c r="D25" s="75"/>
      <c r="E25" s="76"/>
      <c r="F25" s="26">
        <v>4</v>
      </c>
      <c r="G25" s="27">
        <v>13</v>
      </c>
      <c r="H25" s="77" t="str">
        <f ca="1">IF(ISBLANK(INDIRECT(ADDRESS(K25*2+2,3))),"",INDIRECT(ADDRESS(K25*2+2,3)))</f>
        <v>Судник</v>
      </c>
      <c r="I25" s="75"/>
      <c r="J25" s="75"/>
      <c r="K25" s="25">
        <v>4</v>
      </c>
      <c r="L25" s="28" t="s">
        <v>6</v>
      </c>
      <c r="M25" s="29"/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Базарев</v>
      </c>
      <c r="D26" s="75"/>
      <c r="E26" s="76"/>
      <c r="F26" s="26">
        <v>3</v>
      </c>
      <c r="G26" s="27">
        <v>13</v>
      </c>
      <c r="H26" s="77" t="str">
        <f ca="1">IF(ISBLANK(INDIRECT(ADDRESS(K26*2+2,3))),"",INDIRECT(ADDRESS(K26*2+2,3)))</f>
        <v>Уткин</v>
      </c>
      <c r="I26" s="75"/>
      <c r="J26" s="75"/>
      <c r="K26" s="25">
        <v>3</v>
      </c>
      <c r="L26" s="28" t="s">
        <v>6</v>
      </c>
      <c r="M26" s="29"/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Комаров Александр</v>
      </c>
      <c r="D27" s="75"/>
      <c r="E27" s="76"/>
      <c r="F27" s="26">
        <v>13</v>
      </c>
      <c r="G27" s="27">
        <v>10</v>
      </c>
      <c r="H27" s="77" t="str">
        <f ca="1">IF(ISBLANK(INDIRECT(ADDRESS(K27*2+2,3))),"",INDIRECT(ADDRESS(K27*2+2,3)))</f>
        <v>Чашин</v>
      </c>
      <c r="I27" s="75"/>
      <c r="J27" s="75"/>
      <c r="K27" s="25">
        <v>2</v>
      </c>
      <c r="L27" s="28" t="s">
        <v>6</v>
      </c>
      <c r="M27" s="29"/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Чашин</v>
      </c>
      <c r="D30" s="75"/>
      <c r="E30" s="76"/>
      <c r="F30" s="26">
        <v>11</v>
      </c>
      <c r="G30" s="27">
        <v>13</v>
      </c>
      <c r="H30" s="77" t="str">
        <f ca="1">IF(ISBLANK(INDIRECT(ADDRESS(K30*2+2,3))),"",INDIRECT(ADDRESS(K30*2+2,3)))</f>
        <v>Костин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Уткин</v>
      </c>
      <c r="D31" s="75"/>
      <c r="E31" s="76"/>
      <c r="F31" s="26">
        <v>13</v>
      </c>
      <c r="G31" s="27">
        <v>8</v>
      </c>
      <c r="H31" s="77" t="str">
        <f ca="1">IF(ISBLANK(INDIRECT(ADDRESS(K31*2+2,3))),"",INDIRECT(ADDRESS(K31*2+2,3)))</f>
        <v>Комаров Александр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Судник</v>
      </c>
      <c r="D32" s="75"/>
      <c r="E32" s="76"/>
      <c r="F32" s="26">
        <v>13</v>
      </c>
      <c r="G32" s="27">
        <v>3</v>
      </c>
      <c r="H32" s="77" t="str">
        <f ca="1">IF(ISBLANK(INDIRECT(ADDRESS(K32*2+2,3))),"",INDIRECT(ADDRESS(K32*2+2,3)))</f>
        <v>Базарев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Костин</v>
      </c>
      <c r="D35" s="75"/>
      <c r="E35" s="76"/>
      <c r="F35" s="26">
        <v>13</v>
      </c>
      <c r="G35" s="27">
        <v>7</v>
      </c>
      <c r="H35" s="77" t="str">
        <f ca="1">IF(ISBLANK(INDIRECT(ADDRESS(K35*2+2,3))),"",INDIRECT(ADDRESS(K35*2+2,3)))</f>
        <v>Базарев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Комаров Александр</v>
      </c>
      <c r="D36" s="75"/>
      <c r="E36" s="76"/>
      <c r="F36" s="26">
        <v>3</v>
      </c>
      <c r="G36" s="27">
        <v>13</v>
      </c>
      <c r="H36" s="77" t="str">
        <f ca="1">IF(ISBLANK(INDIRECT(ADDRESS(K36*2+2,3))),"",INDIRECT(ADDRESS(K36*2+2,3)))</f>
        <v>Судник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Чашин</v>
      </c>
      <c r="D37" s="75"/>
      <c r="E37" s="76"/>
      <c r="F37" s="26">
        <v>13</v>
      </c>
      <c r="G37" s="27">
        <v>12</v>
      </c>
      <c r="H37" s="77" t="str">
        <f ca="1">IF(ISBLANK(INDIRECT(ADDRESS(K37*2+2,3))),"",INDIRECT(ADDRESS(K37*2+2,3)))</f>
        <v>Уткин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Уткин</v>
      </c>
      <c r="D40" s="75"/>
      <c r="E40" s="76"/>
      <c r="F40" s="26">
        <v>13</v>
      </c>
      <c r="G40" s="27">
        <v>9</v>
      </c>
      <c r="H40" s="77" t="str">
        <f ca="1">IF(ISBLANK(INDIRECT(ADDRESS(K40*2+2,3))),"",INDIRECT(ADDRESS(K40*2+2,3)))</f>
        <v>Костин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Судник</v>
      </c>
      <c r="D41" s="75"/>
      <c r="E41" s="76"/>
      <c r="F41" s="26">
        <v>13</v>
      </c>
      <c r="G41" s="27">
        <v>6</v>
      </c>
      <c r="H41" s="77" t="str">
        <f ca="1">IF(ISBLANK(INDIRECT(ADDRESS(K41*2+2,3))),"",INDIRECT(ADDRESS(K41*2+2,3)))</f>
        <v>Чашин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Базарев</v>
      </c>
      <c r="D42" s="75"/>
      <c r="E42" s="76"/>
      <c r="F42" s="26">
        <v>3</v>
      </c>
      <c r="G42" s="27">
        <v>13</v>
      </c>
      <c r="H42" s="77" t="str">
        <f ca="1">IF(ISBLANK(INDIRECT(ADDRESS(K42*2+2,3))),"",INDIRECT(ADDRESS(K42*2+2,3)))</f>
        <v>Комаров Александр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4">
      <c r="B1" s="97" t="s">
        <v>231</v>
      </c>
      <c r="C1" s="97"/>
      <c r="D1" s="97"/>
      <c r="E1" s="97"/>
      <c r="F1" s="97"/>
      <c r="G1" s="97"/>
      <c r="H1" s="97"/>
      <c r="I1" s="97"/>
      <c r="J1" s="97"/>
      <c r="K1" s="97"/>
      <c r="L1" s="69" t="s">
        <v>214</v>
      </c>
      <c r="M1"/>
    </row>
    <row r="2" spans="1:14" ht="15.75" thickBot="1" x14ac:dyDescent="0.3">
      <c r="M2"/>
    </row>
    <row r="3" spans="1:14" ht="30" customHeight="1" thickBot="1" x14ac:dyDescent="0.3">
      <c r="B3" s="62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9" t="s">
        <v>232</v>
      </c>
      <c r="D4" s="110"/>
      <c r="E4" s="111"/>
      <c r="F4" s="8" t="s">
        <v>4</v>
      </c>
      <c r="G4" s="9" t="str">
        <f ca="1">INDIRECT(ADDRESS(27,6))&amp;":"&amp;INDIRECT(ADDRESS(27,7))</f>
        <v>13:9</v>
      </c>
      <c r="H4" s="9" t="str">
        <f ca="1">INDIRECT(ADDRESS(31,7))&amp;":"&amp;INDIRECT(ADDRESS(31,6))</f>
        <v>13:8</v>
      </c>
      <c r="I4" s="9" t="str">
        <f ca="1">INDIRECT(ADDRESS(36,6))&amp;":"&amp;INDIRECT(ADDRESS(36,7))</f>
        <v>13:9</v>
      </c>
      <c r="J4" s="9" t="str">
        <f ca="1">INDIRECT(ADDRESS(42,7))&amp;":"&amp;INDIRECT(ADDRESS(42,6))</f>
        <v>13:8</v>
      </c>
      <c r="K4" s="10" t="str">
        <f ca="1">INDIRECT(ADDRESS(20,6))&amp;":"&amp;INDIRECT(ADDRESS(20,7))</f>
        <v>11:13</v>
      </c>
      <c r="L4" s="105">
        <f ca="1">IF(COUNT(F5:K5)=0,"",COUNTIF(F5:K5,"&gt;0")+0.5*COUNTIF(F5:K5,0))</f>
        <v>4</v>
      </c>
      <c r="M4" s="11"/>
      <c r="N4" s="96">
        <v>1</v>
      </c>
    </row>
    <row r="5" spans="1:14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COLUMN())))=1,"",INDIRECT(ADDRESS(27,6))-INDIRECT(ADDRESS(27,7)))</f>
        <v>4</v>
      </c>
      <c r="H5" s="13">
        <f ca="1">IF(LEN(INDIRECT(ADDRESS(ROW()-1, COLUMN())))=1,"",INDIRECT(ADDRESS(31,7))-INDIRECT(ADDRESS(31,6)))</f>
        <v>5</v>
      </c>
      <c r="I5" s="13">
        <f ca="1">IF(LEN(INDIRECT(ADDRESS(ROW()-1, COLUMN())))=1,"",INDIRECT(ADDRESS(36,6))-INDIRECT(ADDRESS(36,7)))</f>
        <v>4</v>
      </c>
      <c r="J5" s="13">
        <f ca="1">IF(LEN(INDIRECT(ADDRESS(ROW()-1, COLUMN())))=1,"",INDIRECT(ADDRESS(42,7))-INDIRECT(ADDRESS(42,6)))</f>
        <v>5</v>
      </c>
      <c r="K5" s="14">
        <f ca="1">IF(LEN(INDIRECT(ADDRESS(ROW()-1, COLUMN())))=1,"",INDIRECT(ADDRESS(20,6))-INDIRECT(ADDRESS(20,7)))</f>
        <v>-2</v>
      </c>
      <c r="L5" s="87"/>
      <c r="M5" s="13">
        <f ca="1">IF(COUNT(F5:K5)=0,"",SUM(F5:K5))</f>
        <v>16</v>
      </c>
      <c r="N5" s="92"/>
    </row>
    <row r="6" spans="1:14" ht="24" customHeight="1" x14ac:dyDescent="0.25">
      <c r="A6" s="6"/>
      <c r="B6" s="79">
        <v>2</v>
      </c>
      <c r="C6" s="81" t="s">
        <v>233</v>
      </c>
      <c r="D6" s="82"/>
      <c r="E6" s="83"/>
      <c r="F6" s="15" t="str">
        <f ca="1">INDIRECT(ADDRESS(27,7))&amp;":"&amp;INDIRECT(ADDRESS(27,6))</f>
        <v>9:13</v>
      </c>
      <c r="G6" s="16" t="s">
        <v>4</v>
      </c>
      <c r="H6" s="17" t="str">
        <f ca="1">INDIRECT(ADDRESS(37,6))&amp;":"&amp;INDIRECT(ADDRESS(37,7))</f>
        <v>11:13</v>
      </c>
      <c r="I6" s="17" t="str">
        <f ca="1">INDIRECT(ADDRESS(41,7))&amp;":"&amp;INDIRECT(ADDRESS(41,6))</f>
        <v>6:13</v>
      </c>
      <c r="J6" s="17" t="str">
        <f ca="1">INDIRECT(ADDRESS(21,6))&amp;":"&amp;INDIRECT(ADDRESS(21,7))</f>
        <v>9:13</v>
      </c>
      <c r="K6" s="18" t="str">
        <f ca="1">INDIRECT(ADDRESS(30,6))&amp;":"&amp;INDIRECT(ADDRESS(30,7))</f>
        <v>9:13</v>
      </c>
      <c r="L6" s="87">
        <f ca="1">IF(COUNT(F7:K7)=0,"",COUNTIF(F7:K7,"&gt;0")+0.5*COUNTIF(F7:K7,0))</f>
        <v>0</v>
      </c>
      <c r="M6" s="13"/>
      <c r="N6" s="89">
        <v>6</v>
      </c>
    </row>
    <row r="7" spans="1:14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COLUMN())))=1,"",INDIRECT(ADDRESS(27,7))-INDIRECT(ADDRESS(27,6)))</f>
        <v>-4</v>
      </c>
      <c r="G7" s="20" t="s">
        <v>4</v>
      </c>
      <c r="H7" s="13">
        <f ca="1">IF(LEN(INDIRECT(ADDRESS(ROW()-1, COLUMN())))=1,"",INDIRECT(ADDRESS(37,6))-INDIRECT(ADDRESS(37,7)))</f>
        <v>-2</v>
      </c>
      <c r="I7" s="13">
        <f ca="1">IF(LEN(INDIRECT(ADDRESS(ROW()-1, COLUMN())))=1,"",INDIRECT(ADDRESS(41,7))-INDIRECT(ADDRESS(41,6)))</f>
        <v>-7</v>
      </c>
      <c r="J7" s="13">
        <f ca="1">IF(LEN(INDIRECT(ADDRESS(ROW()-1, COLUMN())))=1,"",INDIRECT(ADDRESS(21,6))-INDIRECT(ADDRESS(21,7)))</f>
        <v>-4</v>
      </c>
      <c r="K7" s="14">
        <f ca="1">IF(LEN(INDIRECT(ADDRESS(ROW()-1, COLUMN())))=1,"",INDIRECT(ADDRESS(30,6))-INDIRECT(ADDRESS(30,7)))</f>
        <v>-4</v>
      </c>
      <c r="L7" s="87"/>
      <c r="M7" s="13">
        <f ca="1">IF(COUNT(F7:K7)=0,"",SUM(F7:K7))</f>
        <v>-21</v>
      </c>
      <c r="N7" s="92"/>
    </row>
    <row r="8" spans="1:14" ht="24" customHeight="1" x14ac:dyDescent="0.25">
      <c r="A8" s="6"/>
      <c r="B8" s="79">
        <v>3</v>
      </c>
      <c r="C8" s="81" t="s">
        <v>234</v>
      </c>
      <c r="D8" s="82"/>
      <c r="E8" s="83"/>
      <c r="F8" s="15" t="str">
        <f ca="1">INDIRECT(ADDRESS(31,6))&amp;":"&amp;INDIRECT(ADDRESS(31,7))</f>
        <v>8:13</v>
      </c>
      <c r="G8" s="17" t="str">
        <f ca="1">INDIRECT(ADDRESS(37,7))&amp;":"&amp;INDIRECT(ADDRESS(37,6))</f>
        <v>13:11</v>
      </c>
      <c r="H8" s="16" t="s">
        <v>4</v>
      </c>
      <c r="I8" s="17" t="str">
        <f ca="1">INDIRECT(ADDRESS(22,6))&amp;":"&amp;INDIRECT(ADDRESS(22,7))</f>
        <v>6:13</v>
      </c>
      <c r="J8" s="17" t="str">
        <f ca="1">INDIRECT(ADDRESS(26,7))&amp;":"&amp;INDIRECT(ADDRESS(26,6))</f>
        <v>11:13</v>
      </c>
      <c r="K8" s="18" t="str">
        <f ca="1">INDIRECT(ADDRESS(40,6))&amp;":"&amp;INDIRECT(ADDRESS(40,7))</f>
        <v>13:12</v>
      </c>
      <c r="L8" s="87">
        <f ca="1">IF(COUNT(F9:K9)=0,"",COUNTIF(F9:K9,"&gt;0")+0.5*COUNTIF(F9:K9,0))</f>
        <v>2</v>
      </c>
      <c r="M8" s="13"/>
      <c r="N8" s="89">
        <v>5</v>
      </c>
    </row>
    <row r="9" spans="1:14" ht="24" customHeight="1" x14ac:dyDescent="0.25">
      <c r="A9" s="6"/>
      <c r="B9" s="91"/>
      <c r="C9" s="81"/>
      <c r="D9" s="82"/>
      <c r="E9" s="83"/>
      <c r="F9" s="19">
        <f ca="1">IF(LEN(INDIRECT(ADDRESS(ROW()-1, COLUMN())))=1,"",INDIRECT(ADDRESS(31,6))-INDIRECT(ADDRESS(31,7)))</f>
        <v>-5</v>
      </c>
      <c r="G9" s="13">
        <f ca="1">IF(LEN(INDIRECT(ADDRESS(ROW()-1, COLUMN())))=1,"",INDIRECT(ADDRESS(37,7))-INDIRECT(ADDRESS(37,6)))</f>
        <v>2</v>
      </c>
      <c r="H9" s="20" t="s">
        <v>4</v>
      </c>
      <c r="I9" s="13">
        <f ca="1">IF(LEN(INDIRECT(ADDRESS(ROW()-1, COLUMN())))=1,"",INDIRECT(ADDRESS(22,6))-INDIRECT(ADDRESS(22,7)))</f>
        <v>-7</v>
      </c>
      <c r="J9" s="13">
        <f ca="1">IF(LEN(INDIRECT(ADDRESS(ROW()-1, COLUMN())))=1,"",INDIRECT(ADDRESS(26,7))-INDIRECT(ADDRESS(26,6)))</f>
        <v>-2</v>
      </c>
      <c r="K9" s="14">
        <f ca="1">IF(LEN(INDIRECT(ADDRESS(ROW()-1, COLUMN())))=1,"",INDIRECT(ADDRESS(40,6))-INDIRECT(ADDRESS(40,7)))</f>
        <v>1</v>
      </c>
      <c r="L9" s="87"/>
      <c r="M9" s="13">
        <f ca="1">IF(COUNT(F9:K9)=0,"",SUM(F9:K9))</f>
        <v>-11</v>
      </c>
      <c r="N9" s="92"/>
    </row>
    <row r="10" spans="1:14" ht="24" customHeight="1" x14ac:dyDescent="0.25">
      <c r="A10" s="6"/>
      <c r="B10" s="79">
        <v>4</v>
      </c>
      <c r="C10" s="93" t="s">
        <v>235</v>
      </c>
      <c r="D10" s="94"/>
      <c r="E10" s="95"/>
      <c r="F10" s="15" t="str">
        <f ca="1">INDIRECT(ADDRESS(36,7))&amp;":"&amp;INDIRECT(ADDRESS(36,6))</f>
        <v>9:13</v>
      </c>
      <c r="G10" s="17" t="str">
        <f ca="1">INDIRECT(ADDRESS(41,6))&amp;":"&amp;INDIRECT(ADDRESS(41,7))</f>
        <v>13:6</v>
      </c>
      <c r="H10" s="17" t="str">
        <f ca="1">INDIRECT(ADDRESS(22,7))&amp;":"&amp;INDIRECT(ADDRESS(22,6))</f>
        <v>13:6</v>
      </c>
      <c r="I10" s="16" t="s">
        <v>4</v>
      </c>
      <c r="J10" s="17" t="str">
        <f ca="1">INDIRECT(ADDRESS(32,6))&amp;":"&amp;INDIRECT(ADDRESS(32,7))</f>
        <v>13:9</v>
      </c>
      <c r="K10" s="18" t="str">
        <f ca="1">INDIRECT(ADDRESS(25,7))&amp;":"&amp;INDIRECT(ADDRESS(25,6))</f>
        <v>13:7</v>
      </c>
      <c r="L10" s="87">
        <f ca="1">IF(COUNT(F11:K11)=0,"",COUNTIF(F11:K11,"&gt;0")+0.5*COUNTIF(F11:K11,0))</f>
        <v>4</v>
      </c>
      <c r="M10" s="13"/>
      <c r="N10" s="89">
        <v>2</v>
      </c>
    </row>
    <row r="11" spans="1:14" ht="24" customHeight="1" x14ac:dyDescent="0.25">
      <c r="A11" s="6"/>
      <c r="B11" s="91"/>
      <c r="C11" s="93"/>
      <c r="D11" s="94"/>
      <c r="E11" s="95"/>
      <c r="F11" s="19">
        <f ca="1">IF(LEN(INDIRECT(ADDRESS(ROW()-1, COLUMN())))=1,"",INDIRECT(ADDRESS(36,7))-INDIRECT(ADDRESS(36,6)))</f>
        <v>-4</v>
      </c>
      <c r="G11" s="13">
        <f ca="1">IF(LEN(INDIRECT(ADDRESS(ROW()-1, COLUMN())))=1,"",INDIRECT(ADDRESS(41,6))-INDIRECT(ADDRESS(41,7)))</f>
        <v>7</v>
      </c>
      <c r="H11" s="13">
        <f ca="1">IF(LEN(INDIRECT(ADDRESS(ROW()-1, COLUMN())))=1,"",INDIRECT(ADDRESS(22,7))-INDIRECT(ADDRESS(22,6)))</f>
        <v>7</v>
      </c>
      <c r="I11" s="20" t="s">
        <v>4</v>
      </c>
      <c r="J11" s="13">
        <f ca="1">IF(LEN(INDIRECT(ADDRESS(ROW()-1, COLUMN())))=1,"",INDIRECT(ADDRESS(32,6))-INDIRECT(ADDRESS(32,7)))</f>
        <v>4</v>
      </c>
      <c r="K11" s="14">
        <f ca="1">IF(LEN(INDIRECT(ADDRESS(ROW()-1, COLUMN())))=1,"",INDIRECT(ADDRESS(25,7))-INDIRECT(ADDRESS(25,6)))</f>
        <v>6</v>
      </c>
      <c r="L11" s="87"/>
      <c r="M11" s="13">
        <f ca="1">IF(COUNT(F11:K11)=0,"",SUM(F11:K11))</f>
        <v>20</v>
      </c>
      <c r="N11" s="92"/>
    </row>
    <row r="12" spans="1:14" ht="24" customHeight="1" x14ac:dyDescent="0.25">
      <c r="A12" s="6"/>
      <c r="B12" s="79">
        <v>5</v>
      </c>
      <c r="C12" s="81" t="s">
        <v>205</v>
      </c>
      <c r="D12" s="82"/>
      <c r="E12" s="83"/>
      <c r="F12" s="15" t="str">
        <f ca="1">INDIRECT(ADDRESS(42,6))&amp;":"&amp;INDIRECT(ADDRESS(42,7))</f>
        <v>8:13</v>
      </c>
      <c r="G12" s="17" t="str">
        <f ca="1">INDIRECT(ADDRESS(21,7))&amp;":"&amp;INDIRECT(ADDRESS(21,6))</f>
        <v>13:9</v>
      </c>
      <c r="H12" s="17" t="str">
        <f ca="1">INDIRECT(ADDRESS(26,6))&amp;":"&amp;INDIRECT(ADDRESS(26,7))</f>
        <v>13:11</v>
      </c>
      <c r="I12" s="17" t="str">
        <f ca="1">INDIRECT(ADDRESS(32,7))&amp;":"&amp;INDIRECT(ADDRESS(32,6))</f>
        <v>9:13</v>
      </c>
      <c r="J12" s="16" t="s">
        <v>4</v>
      </c>
      <c r="K12" s="18" t="str">
        <f ca="1">INDIRECT(ADDRESS(35,7))&amp;":"&amp;INDIRECT(ADDRESS(35,6))</f>
        <v>11:13</v>
      </c>
      <c r="L12" s="87">
        <f ca="1">IF(COUNT(F13:K13)=0,"",COUNTIF(F13:K13,"&gt;0")+0.5*COUNTIF(F13:K13,0))</f>
        <v>2</v>
      </c>
      <c r="M12" s="13"/>
      <c r="N12" s="89">
        <v>4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-5</v>
      </c>
      <c r="G13" s="13">
        <f ca="1">IF(LEN(INDIRECT(ADDRESS(ROW()-1, COLUMN())))=1,"",INDIRECT(ADDRESS(21,7))-INDIRECT(ADDRESS(21,6)))</f>
        <v>4</v>
      </c>
      <c r="H13" s="13">
        <f ca="1">IF(LEN(INDIRECT(ADDRESS(ROW()-1, COLUMN())))=1,"",INDIRECT(ADDRESS(26,6))-INDIRECT(ADDRESS(26,7)))</f>
        <v>2</v>
      </c>
      <c r="I13" s="13">
        <f ca="1">IF(LEN(INDIRECT(ADDRESS(ROW()-1, COLUMN())))=1,"",INDIRECT(ADDRESS(32,7))-INDIRECT(ADDRESS(32,6)))</f>
        <v>-4</v>
      </c>
      <c r="J13" s="20" t="s">
        <v>4</v>
      </c>
      <c r="K13" s="14">
        <f ca="1">IF(LEN(INDIRECT(ADDRESS(ROW()-1, COLUMN())))=1,"",INDIRECT(ADDRESS(35,7))-INDIRECT(ADDRESS(35,6)))</f>
        <v>-2</v>
      </c>
      <c r="L13" s="87"/>
      <c r="M13" s="13">
        <f ca="1">IF(COUNT(F13:K13)=0,"",SUM(F13:K13))</f>
        <v>-5</v>
      </c>
      <c r="N13" s="92"/>
    </row>
    <row r="14" spans="1:14" ht="24" customHeight="1" x14ac:dyDescent="0.25">
      <c r="A14" s="6"/>
      <c r="B14" s="79">
        <v>6</v>
      </c>
      <c r="C14" s="93" t="s">
        <v>236</v>
      </c>
      <c r="D14" s="94"/>
      <c r="E14" s="95"/>
      <c r="F14" s="15" t="str">
        <f ca="1">INDIRECT(ADDRESS(20,7))&amp;":"&amp;INDIRECT(ADDRESS(20,6))</f>
        <v>13:11</v>
      </c>
      <c r="G14" s="17" t="str">
        <f ca="1">INDIRECT(ADDRESS(30,7))&amp;":"&amp;INDIRECT(ADDRESS(30,6))</f>
        <v>13:9</v>
      </c>
      <c r="H14" s="17" t="str">
        <f ca="1">INDIRECT(ADDRESS(40,7))&amp;":"&amp;INDIRECT(ADDRESS(40,6))</f>
        <v>12:13</v>
      </c>
      <c r="I14" s="17" t="str">
        <f ca="1">INDIRECT(ADDRESS(25,6))&amp;":"&amp;INDIRECT(ADDRESS(25,7))</f>
        <v>7:13</v>
      </c>
      <c r="J14" s="17" t="str">
        <f ca="1">INDIRECT(ADDRESS(35,6))&amp;":"&amp;INDIRECT(ADDRESS(35,7))</f>
        <v>13:11</v>
      </c>
      <c r="K14" s="21" t="s">
        <v>4</v>
      </c>
      <c r="L14" s="87">
        <f ca="1">IF(COUNT(F15:K15)=0,"",COUNTIF(F15:K15,"&gt;0")+0.5*COUNTIF(F15:K15,0))</f>
        <v>3</v>
      </c>
      <c r="M14" s="13"/>
      <c r="N14" s="89">
        <v>3</v>
      </c>
    </row>
    <row r="15" spans="1:14" ht="24" customHeight="1" thickBot="1" x14ac:dyDescent="0.3">
      <c r="A15" s="6"/>
      <c r="B15" s="80"/>
      <c r="C15" s="106"/>
      <c r="D15" s="107"/>
      <c r="E15" s="108"/>
      <c r="F15" s="22">
        <f ca="1">IF(LEN(INDIRECT(ADDRESS(ROW()-1, COLUMN())))=1,"",INDIRECT(ADDRESS(20,7))-INDIRECT(ADDRESS(20,6)))</f>
        <v>2</v>
      </c>
      <c r="G15" s="23">
        <f ca="1">IF(LEN(INDIRECT(ADDRESS(ROW()-1, COLUMN())))=1,"",INDIRECT(ADDRESS(30,7))-INDIRECT(ADDRESS(30,6)))</f>
        <v>4</v>
      </c>
      <c r="H15" s="23">
        <f ca="1">IF(LEN(INDIRECT(ADDRESS(ROW()-1, COLUMN())))=1,"",INDIRECT(ADDRESS(40,7))-INDIRECT(ADDRESS(40,6)))</f>
        <v>-1</v>
      </c>
      <c r="I15" s="23">
        <f ca="1">IF(LEN(INDIRECT(ADDRESS(ROW()-1, COLUMN())))=1,"",INDIRECT(ADDRESS(25,6))-INDIRECT(ADDRESS(25,7)))</f>
        <v>-6</v>
      </c>
      <c r="J15" s="23">
        <f ca="1">IF(LEN(INDIRECT(ADDRESS(ROW()-1, COLUMN())))=1,"",INDIRECT(ADDRESS(35,6))-INDIRECT(ADDRESS(35,7)))</f>
        <v>2</v>
      </c>
      <c r="K15" s="24" t="s">
        <v>4</v>
      </c>
      <c r="L15" s="88"/>
      <c r="M15" s="23">
        <f ca="1">IF(COUNT(F15:K15)=0,"",SUM(F15:K15))</f>
        <v>1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Гаджиев</v>
      </c>
      <c r="D20" s="75"/>
      <c r="E20" s="76"/>
      <c r="F20" s="26">
        <v>11</v>
      </c>
      <c r="G20" s="27">
        <v>13</v>
      </c>
      <c r="H20" s="77" t="str">
        <f ca="1">IF(ISBLANK(INDIRECT(ADDRESS(K20*2+2,3))),"",INDIRECT(ADDRESS(K20*2+2,3)))</f>
        <v>Осокин</v>
      </c>
      <c r="I20" s="75"/>
      <c r="J20" s="75"/>
      <c r="K20" s="25">
        <v>6</v>
      </c>
      <c r="L20" s="28" t="s">
        <v>6</v>
      </c>
      <c r="M20" s="29"/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Рядовиков</v>
      </c>
      <c r="D21" s="75"/>
      <c r="E21" s="76"/>
      <c r="F21" s="26">
        <v>9</v>
      </c>
      <c r="G21" s="27">
        <v>13</v>
      </c>
      <c r="H21" s="77" t="str">
        <f ca="1">IF(ISBLANK(INDIRECT(ADDRESS(K21*2+2,3))),"",INDIRECT(ADDRESS(K21*2+2,3)))</f>
        <v>Банщиков</v>
      </c>
      <c r="I21" s="75"/>
      <c r="J21" s="75"/>
      <c r="K21" s="25">
        <v>5</v>
      </c>
      <c r="L21" s="28" t="s">
        <v>6</v>
      </c>
      <c r="M21" s="29"/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Тихонов</v>
      </c>
      <c r="D22" s="75"/>
      <c r="E22" s="76"/>
      <c r="F22" s="26">
        <v>6</v>
      </c>
      <c r="G22" s="27">
        <v>13</v>
      </c>
      <c r="H22" s="77" t="str">
        <f ca="1">IF(ISBLANK(INDIRECT(ADDRESS(K22*2+2,3))),"",INDIRECT(ADDRESS(K22*2+2,3)))</f>
        <v>Гулинин</v>
      </c>
      <c r="I22" s="75"/>
      <c r="J22" s="75"/>
      <c r="K22" s="25">
        <v>4</v>
      </c>
      <c r="L22" s="28" t="s">
        <v>6</v>
      </c>
      <c r="M22" s="29"/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Осокин</v>
      </c>
      <c r="D25" s="75"/>
      <c r="E25" s="76"/>
      <c r="F25" s="26">
        <v>7</v>
      </c>
      <c r="G25" s="27">
        <v>13</v>
      </c>
      <c r="H25" s="77" t="str">
        <f ca="1">IF(ISBLANK(INDIRECT(ADDRESS(K25*2+2,3))),"",INDIRECT(ADDRESS(K25*2+2,3)))</f>
        <v>Гулинин</v>
      </c>
      <c r="I25" s="75"/>
      <c r="J25" s="75"/>
      <c r="K25" s="25">
        <v>4</v>
      </c>
      <c r="L25" s="28" t="s">
        <v>6</v>
      </c>
      <c r="M25" s="29"/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Банщиков</v>
      </c>
      <c r="D26" s="75"/>
      <c r="E26" s="76"/>
      <c r="F26" s="26">
        <v>13</v>
      </c>
      <c r="G26" s="27">
        <v>11</v>
      </c>
      <c r="H26" s="77" t="str">
        <f ca="1">IF(ISBLANK(INDIRECT(ADDRESS(K26*2+2,3))),"",INDIRECT(ADDRESS(K26*2+2,3)))</f>
        <v>Тихонов</v>
      </c>
      <c r="I26" s="75"/>
      <c r="J26" s="75"/>
      <c r="K26" s="25">
        <v>3</v>
      </c>
      <c r="L26" s="28" t="s">
        <v>6</v>
      </c>
      <c r="M26" s="29"/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Гаджиев</v>
      </c>
      <c r="D27" s="75"/>
      <c r="E27" s="76"/>
      <c r="F27" s="26">
        <v>13</v>
      </c>
      <c r="G27" s="27">
        <v>9</v>
      </c>
      <c r="H27" s="77" t="str">
        <f ca="1">IF(ISBLANK(INDIRECT(ADDRESS(K27*2+2,3))),"",INDIRECT(ADDRESS(K27*2+2,3)))</f>
        <v>Рядовиков</v>
      </c>
      <c r="I27" s="75"/>
      <c r="J27" s="75"/>
      <c r="K27" s="25">
        <v>2</v>
      </c>
      <c r="L27" s="28" t="s">
        <v>6</v>
      </c>
      <c r="M27" s="29"/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Рядовиков</v>
      </c>
      <c r="D30" s="75"/>
      <c r="E30" s="76"/>
      <c r="F30" s="26">
        <v>9</v>
      </c>
      <c r="G30" s="27">
        <v>13</v>
      </c>
      <c r="H30" s="77" t="str">
        <f ca="1">IF(ISBLANK(INDIRECT(ADDRESS(K30*2+2,3))),"",INDIRECT(ADDRESS(K30*2+2,3)))</f>
        <v>Осокин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Тихонов</v>
      </c>
      <c r="D31" s="75"/>
      <c r="E31" s="76"/>
      <c r="F31" s="26">
        <v>8</v>
      </c>
      <c r="G31" s="27">
        <v>13</v>
      </c>
      <c r="H31" s="77" t="str">
        <f ca="1">IF(ISBLANK(INDIRECT(ADDRESS(K31*2+2,3))),"",INDIRECT(ADDRESS(K31*2+2,3)))</f>
        <v>Гаджиев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Гулинин</v>
      </c>
      <c r="D32" s="75"/>
      <c r="E32" s="76"/>
      <c r="F32" s="26">
        <v>13</v>
      </c>
      <c r="G32" s="27">
        <v>9</v>
      </c>
      <c r="H32" s="77" t="str">
        <f ca="1">IF(ISBLANK(INDIRECT(ADDRESS(K32*2+2,3))),"",INDIRECT(ADDRESS(K32*2+2,3)))</f>
        <v>Банщиков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Осокин</v>
      </c>
      <c r="D35" s="75"/>
      <c r="E35" s="76"/>
      <c r="F35" s="26">
        <v>13</v>
      </c>
      <c r="G35" s="27">
        <v>11</v>
      </c>
      <c r="H35" s="77" t="str">
        <f ca="1">IF(ISBLANK(INDIRECT(ADDRESS(K35*2+2,3))),"",INDIRECT(ADDRESS(K35*2+2,3)))</f>
        <v>Банщиков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Гаджиев</v>
      </c>
      <c r="D36" s="75"/>
      <c r="E36" s="76"/>
      <c r="F36" s="26">
        <v>13</v>
      </c>
      <c r="G36" s="27">
        <v>9</v>
      </c>
      <c r="H36" s="77" t="str">
        <f ca="1">IF(ISBLANK(INDIRECT(ADDRESS(K36*2+2,3))),"",INDIRECT(ADDRESS(K36*2+2,3)))</f>
        <v>Гулинин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Рядовиков</v>
      </c>
      <c r="D37" s="75"/>
      <c r="E37" s="76"/>
      <c r="F37" s="26">
        <v>11</v>
      </c>
      <c r="G37" s="27">
        <v>13</v>
      </c>
      <c r="H37" s="77" t="str">
        <f ca="1">IF(ISBLANK(INDIRECT(ADDRESS(K37*2+2,3))),"",INDIRECT(ADDRESS(K37*2+2,3)))</f>
        <v>Тихонов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>
      <c r="I38" t="s">
        <v>252</v>
      </c>
    </row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Тихонов</v>
      </c>
      <c r="D40" s="75"/>
      <c r="E40" s="76"/>
      <c r="F40" s="26">
        <v>13</v>
      </c>
      <c r="G40" s="27">
        <v>12</v>
      </c>
      <c r="H40" s="77" t="str">
        <f ca="1">IF(ISBLANK(INDIRECT(ADDRESS(K40*2+2,3))),"",INDIRECT(ADDRESS(K40*2+2,3)))</f>
        <v>Осокин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Гулинин</v>
      </c>
      <c r="D41" s="75"/>
      <c r="E41" s="76"/>
      <c r="F41" s="26">
        <v>13</v>
      </c>
      <c r="G41" s="27">
        <v>6</v>
      </c>
      <c r="H41" s="77" t="str">
        <f ca="1">IF(ISBLANK(INDIRECT(ADDRESS(K41*2+2,3))),"",INDIRECT(ADDRESS(K41*2+2,3)))</f>
        <v>Рядовиков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Банщиков</v>
      </c>
      <c r="D42" s="75"/>
      <c r="E42" s="76"/>
      <c r="F42" s="26">
        <v>8</v>
      </c>
      <c r="G42" s="27">
        <v>13</v>
      </c>
      <c r="H42" s="77" t="str">
        <f ca="1">IF(ISBLANK(INDIRECT(ADDRESS(K42*2+2,3))),"",INDIRECT(ADDRESS(K42*2+2,3)))</f>
        <v>Гаджиев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N6" sqref="N6:N7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4">
      <c r="B1" s="97" t="s">
        <v>216</v>
      </c>
      <c r="C1" s="97"/>
      <c r="D1" s="97"/>
      <c r="E1" s="97"/>
      <c r="F1" s="97"/>
      <c r="G1" s="97"/>
      <c r="H1" s="97"/>
      <c r="I1" s="97"/>
      <c r="J1" s="97"/>
      <c r="K1" s="97"/>
      <c r="L1" s="69" t="s">
        <v>214</v>
      </c>
      <c r="M1"/>
    </row>
    <row r="2" spans="1:14" ht="15.75" thickBot="1" x14ac:dyDescent="0.3">
      <c r="M2"/>
    </row>
    <row r="3" spans="1:14" ht="30" customHeight="1" thickBot="1" x14ac:dyDescent="0.3">
      <c r="B3" s="62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2" t="s">
        <v>237</v>
      </c>
      <c r="D4" s="103"/>
      <c r="E4" s="104"/>
      <c r="F4" s="8" t="s">
        <v>4</v>
      </c>
      <c r="G4" s="9" t="str">
        <f ca="1">INDIRECT(ADDRESS(27,6))&amp;":"&amp;INDIRECT(ADDRESS(27,7))</f>
        <v>8:13</v>
      </c>
      <c r="H4" s="9" t="str">
        <f ca="1">INDIRECT(ADDRESS(31,7))&amp;":"&amp;INDIRECT(ADDRESS(31,6))</f>
        <v>6:13</v>
      </c>
      <c r="I4" s="9" t="str">
        <f ca="1">INDIRECT(ADDRESS(36,6))&amp;":"&amp;INDIRECT(ADDRESS(36,7))</f>
        <v>13:9</v>
      </c>
      <c r="J4" s="9" t="str">
        <f ca="1">INDIRECT(ADDRESS(42,7))&amp;":"&amp;INDIRECT(ADDRESS(42,6))</f>
        <v>13:7</v>
      </c>
      <c r="K4" s="10" t="str">
        <f ca="1">INDIRECT(ADDRESS(20,6))&amp;":"&amp;INDIRECT(ADDRESS(20,7))</f>
        <v>11:13</v>
      </c>
      <c r="L4" s="105">
        <f ca="1">IF(COUNT(F5:K5)=0,"",COUNTIF(F5:K5,"&gt;0")+0.5*COUNTIF(F5:K5,0))</f>
        <v>2</v>
      </c>
      <c r="M4" s="11"/>
      <c r="N4" s="96">
        <v>4</v>
      </c>
    </row>
    <row r="5" spans="1:14" ht="24" customHeight="1" x14ac:dyDescent="0.25">
      <c r="A5" s="6"/>
      <c r="B5" s="91"/>
      <c r="C5" s="81"/>
      <c r="D5" s="82"/>
      <c r="E5" s="83"/>
      <c r="F5" s="12" t="s">
        <v>4</v>
      </c>
      <c r="G5" s="13">
        <f ca="1">IF(LEN(INDIRECT(ADDRESS(ROW()-1, COLUMN())))=1,"",INDIRECT(ADDRESS(27,6))-INDIRECT(ADDRESS(27,7)))</f>
        <v>-5</v>
      </c>
      <c r="H5" s="13">
        <f ca="1">IF(LEN(INDIRECT(ADDRESS(ROW()-1, COLUMN())))=1,"",INDIRECT(ADDRESS(31,7))-INDIRECT(ADDRESS(31,6)))</f>
        <v>-7</v>
      </c>
      <c r="I5" s="13">
        <f ca="1">IF(LEN(INDIRECT(ADDRESS(ROW()-1, COLUMN())))=1,"",INDIRECT(ADDRESS(36,6))-INDIRECT(ADDRESS(36,7)))</f>
        <v>4</v>
      </c>
      <c r="J5" s="13">
        <f ca="1">IF(LEN(INDIRECT(ADDRESS(ROW()-1, COLUMN())))=1,"",INDIRECT(ADDRESS(42,7))-INDIRECT(ADDRESS(42,6)))</f>
        <v>6</v>
      </c>
      <c r="K5" s="14">
        <f ca="1">IF(LEN(INDIRECT(ADDRESS(ROW()-1, COLUMN())))=1,"",INDIRECT(ADDRESS(20,6))-INDIRECT(ADDRESS(20,7)))</f>
        <v>-2</v>
      </c>
      <c r="L5" s="87"/>
      <c r="M5" s="13">
        <f ca="1">IF(COUNT(F5:K5)=0,"",SUM(F5:K5))</f>
        <v>-4</v>
      </c>
      <c r="N5" s="92"/>
    </row>
    <row r="6" spans="1:14" ht="24" customHeight="1" x14ac:dyDescent="0.25">
      <c r="A6" s="6"/>
      <c r="B6" s="79">
        <v>2</v>
      </c>
      <c r="C6" s="93" t="s">
        <v>238</v>
      </c>
      <c r="D6" s="94"/>
      <c r="E6" s="95"/>
      <c r="F6" s="15" t="str">
        <f ca="1">INDIRECT(ADDRESS(27,7))&amp;":"&amp;INDIRECT(ADDRESS(27,6))</f>
        <v>13:8</v>
      </c>
      <c r="G6" s="16" t="s">
        <v>4</v>
      </c>
      <c r="H6" s="17" t="str">
        <f ca="1">INDIRECT(ADDRESS(37,6))&amp;":"&amp;INDIRECT(ADDRESS(37,7))</f>
        <v>9:13</v>
      </c>
      <c r="I6" s="17" t="str">
        <f ca="1">INDIRECT(ADDRESS(41,7))&amp;":"&amp;INDIRECT(ADDRESS(41,6))</f>
        <v>13:6</v>
      </c>
      <c r="J6" s="17" t="str">
        <f ca="1">INDIRECT(ADDRESS(21,6))&amp;":"&amp;INDIRECT(ADDRESS(21,7))</f>
        <v>13:12</v>
      </c>
      <c r="K6" s="18" t="str">
        <f ca="1">INDIRECT(ADDRESS(30,6))&amp;":"&amp;INDIRECT(ADDRESS(30,7))</f>
        <v>13:4</v>
      </c>
      <c r="L6" s="87">
        <f ca="1">IF(COUNT(F7:K7)=0,"",COUNTIF(F7:K7,"&gt;0")+0.5*COUNTIF(F7:K7,0))</f>
        <v>4</v>
      </c>
      <c r="M6" s="13"/>
      <c r="N6" s="89">
        <v>2</v>
      </c>
    </row>
    <row r="7" spans="1:14" ht="24" customHeight="1" x14ac:dyDescent="0.25">
      <c r="A7" s="6"/>
      <c r="B7" s="91"/>
      <c r="C7" s="93"/>
      <c r="D7" s="94"/>
      <c r="E7" s="95"/>
      <c r="F7" s="19">
        <f ca="1">IF(LEN(INDIRECT(ADDRESS(ROW()-1, COLUMN())))=1,"",INDIRECT(ADDRESS(27,7))-INDIRECT(ADDRESS(27,6)))</f>
        <v>5</v>
      </c>
      <c r="G7" s="20" t="s">
        <v>4</v>
      </c>
      <c r="H7" s="13">
        <f ca="1">IF(LEN(INDIRECT(ADDRESS(ROW()-1, COLUMN())))=1,"",INDIRECT(ADDRESS(37,6))-INDIRECT(ADDRESS(37,7)))</f>
        <v>-4</v>
      </c>
      <c r="I7" s="13">
        <f ca="1">IF(LEN(INDIRECT(ADDRESS(ROW()-1, COLUMN())))=1,"",INDIRECT(ADDRESS(41,7))-INDIRECT(ADDRESS(41,6)))</f>
        <v>7</v>
      </c>
      <c r="J7" s="13">
        <f ca="1">IF(LEN(INDIRECT(ADDRESS(ROW()-1, COLUMN())))=1,"",INDIRECT(ADDRESS(21,6))-INDIRECT(ADDRESS(21,7)))</f>
        <v>1</v>
      </c>
      <c r="K7" s="14">
        <f ca="1">IF(LEN(INDIRECT(ADDRESS(ROW()-1, COLUMN())))=1,"",INDIRECT(ADDRESS(30,6))-INDIRECT(ADDRESS(30,7)))</f>
        <v>9</v>
      </c>
      <c r="L7" s="87"/>
      <c r="M7" s="13">
        <f ca="1">IF(COUNT(F7:K7)=0,"",SUM(F7:K7))</f>
        <v>18</v>
      </c>
      <c r="N7" s="92"/>
    </row>
    <row r="8" spans="1:14" ht="24" customHeight="1" x14ac:dyDescent="0.25">
      <c r="A8" s="6"/>
      <c r="B8" s="79">
        <v>3</v>
      </c>
      <c r="C8" s="93" t="s">
        <v>239</v>
      </c>
      <c r="D8" s="94"/>
      <c r="E8" s="95"/>
      <c r="F8" s="15" t="str">
        <f ca="1">INDIRECT(ADDRESS(31,6))&amp;":"&amp;INDIRECT(ADDRESS(31,7))</f>
        <v>13:6</v>
      </c>
      <c r="G8" s="17" t="str">
        <f ca="1">INDIRECT(ADDRESS(37,7))&amp;":"&amp;INDIRECT(ADDRESS(37,6))</f>
        <v>13:9</v>
      </c>
      <c r="H8" s="16" t="s">
        <v>4</v>
      </c>
      <c r="I8" s="17" t="str">
        <f ca="1">INDIRECT(ADDRESS(22,6))&amp;":"&amp;INDIRECT(ADDRESS(22,7))</f>
        <v>10:13</v>
      </c>
      <c r="J8" s="17" t="str">
        <f ca="1">INDIRECT(ADDRESS(26,7))&amp;":"&amp;INDIRECT(ADDRESS(26,6))</f>
        <v>13:5</v>
      </c>
      <c r="K8" s="18" t="str">
        <f ca="1">INDIRECT(ADDRESS(40,6))&amp;":"&amp;INDIRECT(ADDRESS(40,7))</f>
        <v>13:6</v>
      </c>
      <c r="L8" s="87">
        <f ca="1">IF(COUNT(F9:K9)=0,"",COUNTIF(F9:K9,"&gt;0")+0.5*COUNTIF(F9:K9,0))</f>
        <v>4</v>
      </c>
      <c r="M8" s="13"/>
      <c r="N8" s="89">
        <v>1</v>
      </c>
    </row>
    <row r="9" spans="1:14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COLUMN())))=1,"",INDIRECT(ADDRESS(31,6))-INDIRECT(ADDRESS(31,7)))</f>
        <v>7</v>
      </c>
      <c r="G9" s="13">
        <f ca="1">IF(LEN(INDIRECT(ADDRESS(ROW()-1, COLUMN())))=1,"",INDIRECT(ADDRESS(37,7))-INDIRECT(ADDRESS(37,6)))</f>
        <v>4</v>
      </c>
      <c r="H9" s="20" t="s">
        <v>4</v>
      </c>
      <c r="I9" s="13">
        <f ca="1">IF(LEN(INDIRECT(ADDRESS(ROW()-1, COLUMN())))=1,"",INDIRECT(ADDRESS(22,6))-INDIRECT(ADDRESS(22,7)))</f>
        <v>-3</v>
      </c>
      <c r="J9" s="13">
        <f ca="1">IF(LEN(INDIRECT(ADDRESS(ROW()-1, COLUMN())))=1,"",INDIRECT(ADDRESS(26,7))-INDIRECT(ADDRESS(26,6)))</f>
        <v>8</v>
      </c>
      <c r="K9" s="14">
        <f ca="1">IF(LEN(INDIRECT(ADDRESS(ROW()-1, COLUMN())))=1,"",INDIRECT(ADDRESS(40,6))-INDIRECT(ADDRESS(40,7)))</f>
        <v>7</v>
      </c>
      <c r="L9" s="87"/>
      <c r="M9" s="13">
        <f ca="1">IF(COUNT(F9:K9)=0,"",SUM(F9:K9))</f>
        <v>23</v>
      </c>
      <c r="N9" s="92"/>
    </row>
    <row r="10" spans="1:14" ht="24" customHeight="1" x14ac:dyDescent="0.25">
      <c r="A10" s="6"/>
      <c r="B10" s="79">
        <v>4</v>
      </c>
      <c r="C10" s="81" t="s">
        <v>240</v>
      </c>
      <c r="D10" s="82"/>
      <c r="E10" s="83"/>
      <c r="F10" s="15" t="str">
        <f ca="1">INDIRECT(ADDRESS(36,7))&amp;":"&amp;INDIRECT(ADDRESS(36,6))</f>
        <v>9:13</v>
      </c>
      <c r="G10" s="17" t="str">
        <f ca="1">INDIRECT(ADDRESS(41,6))&amp;":"&amp;INDIRECT(ADDRESS(41,7))</f>
        <v>6:13</v>
      </c>
      <c r="H10" s="17" t="str">
        <f ca="1">INDIRECT(ADDRESS(22,7))&amp;":"&amp;INDIRECT(ADDRESS(22,6))</f>
        <v>13:10</v>
      </c>
      <c r="I10" s="16" t="s">
        <v>4</v>
      </c>
      <c r="J10" s="17" t="str">
        <f ca="1">INDIRECT(ADDRESS(32,6))&amp;":"&amp;INDIRECT(ADDRESS(32,7))</f>
        <v>13:5</v>
      </c>
      <c r="K10" s="18" t="str">
        <f ca="1">INDIRECT(ADDRESS(25,7))&amp;":"&amp;INDIRECT(ADDRESS(25,6))</f>
        <v>10:13</v>
      </c>
      <c r="L10" s="87">
        <f ca="1">IF(COUNT(F11:K11)=0,"",COUNTIF(F11:K11,"&gt;0")+0.5*COUNTIF(F11:K11,0))</f>
        <v>2</v>
      </c>
      <c r="M10" s="13"/>
      <c r="N10" s="89">
        <v>5</v>
      </c>
    </row>
    <row r="11" spans="1:14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COLUMN())))=1,"",INDIRECT(ADDRESS(36,7))-INDIRECT(ADDRESS(36,6)))</f>
        <v>-4</v>
      </c>
      <c r="G11" s="13">
        <f ca="1">IF(LEN(INDIRECT(ADDRESS(ROW()-1, COLUMN())))=1,"",INDIRECT(ADDRESS(41,6))-INDIRECT(ADDRESS(41,7)))</f>
        <v>-7</v>
      </c>
      <c r="H11" s="13">
        <f ca="1">IF(LEN(INDIRECT(ADDRESS(ROW()-1, COLUMN())))=1,"",INDIRECT(ADDRESS(22,7))-INDIRECT(ADDRESS(22,6)))</f>
        <v>3</v>
      </c>
      <c r="I11" s="20" t="s">
        <v>4</v>
      </c>
      <c r="J11" s="13">
        <f ca="1">IF(LEN(INDIRECT(ADDRESS(ROW()-1, COLUMN())))=1,"",INDIRECT(ADDRESS(32,6))-INDIRECT(ADDRESS(32,7)))</f>
        <v>8</v>
      </c>
      <c r="K11" s="14">
        <f ca="1">IF(LEN(INDIRECT(ADDRESS(ROW()-1, COLUMN())))=1,"",INDIRECT(ADDRESS(25,7))-INDIRECT(ADDRESS(25,6)))</f>
        <v>-3</v>
      </c>
      <c r="L11" s="87"/>
      <c r="M11" s="13">
        <f ca="1">IF(COUNT(F11:K11)=0,"",SUM(F11:K11))</f>
        <v>-3</v>
      </c>
      <c r="N11" s="92"/>
    </row>
    <row r="12" spans="1:14" ht="24" customHeight="1" x14ac:dyDescent="0.25">
      <c r="A12" s="6"/>
      <c r="B12" s="79">
        <v>5</v>
      </c>
      <c r="C12" s="81" t="s">
        <v>241</v>
      </c>
      <c r="D12" s="82"/>
      <c r="E12" s="83"/>
      <c r="F12" s="15" t="str">
        <f ca="1">INDIRECT(ADDRESS(42,6))&amp;":"&amp;INDIRECT(ADDRESS(42,7))</f>
        <v>7:13</v>
      </c>
      <c r="G12" s="17" t="str">
        <f ca="1">INDIRECT(ADDRESS(21,7))&amp;":"&amp;INDIRECT(ADDRESS(21,6))</f>
        <v>12:13</v>
      </c>
      <c r="H12" s="17" t="str">
        <f ca="1">INDIRECT(ADDRESS(26,6))&amp;":"&amp;INDIRECT(ADDRESS(26,7))</f>
        <v>5:13</v>
      </c>
      <c r="I12" s="17" t="str">
        <f ca="1">INDIRECT(ADDRESS(32,7))&amp;":"&amp;INDIRECT(ADDRESS(32,6))</f>
        <v>5:13</v>
      </c>
      <c r="J12" s="16" t="s">
        <v>4</v>
      </c>
      <c r="K12" s="18" t="str">
        <f ca="1">INDIRECT(ADDRESS(35,7))&amp;":"&amp;INDIRECT(ADDRESS(35,6))</f>
        <v>13:10</v>
      </c>
      <c r="L12" s="87">
        <f ca="1">IF(COUNT(F13:K13)=0,"",COUNTIF(F13:K13,"&gt;0")+0.5*COUNTIF(F13:K13,0))</f>
        <v>1</v>
      </c>
      <c r="M12" s="13"/>
      <c r="N12" s="89">
        <v>6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-6</v>
      </c>
      <c r="G13" s="13">
        <f ca="1">IF(LEN(INDIRECT(ADDRESS(ROW()-1, COLUMN())))=1,"",INDIRECT(ADDRESS(21,7))-INDIRECT(ADDRESS(21,6)))</f>
        <v>-1</v>
      </c>
      <c r="H13" s="13">
        <f ca="1">IF(LEN(INDIRECT(ADDRESS(ROW()-1, COLUMN())))=1,"",INDIRECT(ADDRESS(26,6))-INDIRECT(ADDRESS(26,7)))</f>
        <v>-8</v>
      </c>
      <c r="I13" s="13">
        <f ca="1">IF(LEN(INDIRECT(ADDRESS(ROW()-1, COLUMN())))=1,"",INDIRECT(ADDRESS(32,7))-INDIRECT(ADDRESS(32,6)))</f>
        <v>-8</v>
      </c>
      <c r="J13" s="20" t="s">
        <v>4</v>
      </c>
      <c r="K13" s="14">
        <f ca="1">IF(LEN(INDIRECT(ADDRESS(ROW()-1, COLUMN())))=1,"",INDIRECT(ADDRESS(35,7))-INDIRECT(ADDRESS(35,6)))</f>
        <v>3</v>
      </c>
      <c r="L13" s="87"/>
      <c r="M13" s="13">
        <f ca="1">IF(COUNT(F13:K13)=0,"",SUM(F13:K13))</f>
        <v>-20</v>
      </c>
      <c r="N13" s="92"/>
    </row>
    <row r="14" spans="1:14" ht="24" customHeight="1" x14ac:dyDescent="0.25">
      <c r="A14" s="6"/>
      <c r="B14" s="79">
        <v>6</v>
      </c>
      <c r="C14" s="81" t="s">
        <v>242</v>
      </c>
      <c r="D14" s="82"/>
      <c r="E14" s="83"/>
      <c r="F14" s="15" t="str">
        <f ca="1">INDIRECT(ADDRESS(20,7))&amp;":"&amp;INDIRECT(ADDRESS(20,6))</f>
        <v>13:11</v>
      </c>
      <c r="G14" s="17" t="str">
        <f ca="1">INDIRECT(ADDRESS(30,7))&amp;":"&amp;INDIRECT(ADDRESS(30,6))</f>
        <v>4:13</v>
      </c>
      <c r="H14" s="17" t="str">
        <f ca="1">INDIRECT(ADDRESS(40,7))&amp;":"&amp;INDIRECT(ADDRESS(40,6))</f>
        <v>6:13</v>
      </c>
      <c r="I14" s="17" t="str">
        <f ca="1">INDIRECT(ADDRESS(25,6))&amp;":"&amp;INDIRECT(ADDRESS(25,7))</f>
        <v>13:10</v>
      </c>
      <c r="J14" s="17" t="str">
        <f ca="1">INDIRECT(ADDRESS(35,6))&amp;":"&amp;INDIRECT(ADDRESS(35,7))</f>
        <v>10:13</v>
      </c>
      <c r="K14" s="21" t="s">
        <v>4</v>
      </c>
      <c r="L14" s="87">
        <f ca="1">IF(COUNT(F15:K15)=0,"",COUNTIF(F15:K15,"&gt;0")+0.5*COUNTIF(F15:K15,0))</f>
        <v>2</v>
      </c>
      <c r="M14" s="13"/>
      <c r="N14" s="89">
        <v>3</v>
      </c>
    </row>
    <row r="15" spans="1:14" ht="24" customHeight="1" thickBot="1" x14ac:dyDescent="0.3">
      <c r="A15" s="6"/>
      <c r="B15" s="80"/>
      <c r="C15" s="84"/>
      <c r="D15" s="85"/>
      <c r="E15" s="86"/>
      <c r="F15" s="22">
        <f ca="1">IF(LEN(INDIRECT(ADDRESS(ROW()-1, COLUMN())))=1,"",INDIRECT(ADDRESS(20,7))-INDIRECT(ADDRESS(20,6)))</f>
        <v>2</v>
      </c>
      <c r="G15" s="23">
        <f ca="1">IF(LEN(INDIRECT(ADDRESS(ROW()-1, COLUMN())))=1,"",INDIRECT(ADDRESS(30,7))-INDIRECT(ADDRESS(30,6)))</f>
        <v>-9</v>
      </c>
      <c r="H15" s="23">
        <f ca="1">IF(LEN(INDIRECT(ADDRESS(ROW()-1, COLUMN())))=1,"",INDIRECT(ADDRESS(40,7))-INDIRECT(ADDRESS(40,6)))</f>
        <v>-7</v>
      </c>
      <c r="I15" s="23">
        <f ca="1">IF(LEN(INDIRECT(ADDRESS(ROW()-1, COLUMN())))=1,"",INDIRECT(ADDRESS(25,6))-INDIRECT(ADDRESS(25,7)))</f>
        <v>3</v>
      </c>
      <c r="J15" s="23">
        <f ca="1">IF(LEN(INDIRECT(ADDRESS(ROW()-1, COLUMN())))=1,"",INDIRECT(ADDRESS(35,6))-INDIRECT(ADDRESS(35,7)))</f>
        <v>-3</v>
      </c>
      <c r="K15" s="24" t="s">
        <v>4</v>
      </c>
      <c r="L15" s="88"/>
      <c r="M15" s="23">
        <f ca="1">IF(COUNT(F15:K15)=0,"",SUM(F15:K15))</f>
        <v>-14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Давыдов</v>
      </c>
      <c r="D20" s="75"/>
      <c r="E20" s="76"/>
      <c r="F20" s="26">
        <v>11</v>
      </c>
      <c r="G20" s="27">
        <v>13</v>
      </c>
      <c r="H20" s="77" t="str">
        <f ca="1">IF(ISBLANK(INDIRECT(ADDRESS(K20*2+2,3))),"",INDIRECT(ADDRESS(K20*2+2,3)))</f>
        <v>Ницинский</v>
      </c>
      <c r="I20" s="75"/>
      <c r="J20" s="75"/>
      <c r="K20" s="25">
        <v>6</v>
      </c>
      <c r="L20" s="28" t="s">
        <v>6</v>
      </c>
      <c r="M20" s="29"/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Догадин</v>
      </c>
      <c r="D21" s="75"/>
      <c r="E21" s="76"/>
      <c r="F21" s="26">
        <v>13</v>
      </c>
      <c r="G21" s="27">
        <v>12</v>
      </c>
      <c r="H21" s="77" t="str">
        <f ca="1">IF(ISBLANK(INDIRECT(ADDRESS(K21*2+2,3))),"",INDIRECT(ADDRESS(K21*2+2,3)))</f>
        <v>Борисов</v>
      </c>
      <c r="I21" s="75"/>
      <c r="J21" s="75"/>
      <c r="K21" s="25">
        <v>5</v>
      </c>
      <c r="L21" s="28" t="s">
        <v>6</v>
      </c>
      <c r="M21" s="29"/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Гоцфрид</v>
      </c>
      <c r="D22" s="75"/>
      <c r="E22" s="76"/>
      <c r="F22" s="26">
        <v>10</v>
      </c>
      <c r="G22" s="27">
        <v>13</v>
      </c>
      <c r="H22" s="77" t="str">
        <f ca="1">IF(ISBLANK(INDIRECT(ADDRESS(K22*2+2,3))),"",INDIRECT(ADDRESS(K22*2+2,3)))</f>
        <v>Медведев</v>
      </c>
      <c r="I22" s="75"/>
      <c r="J22" s="75"/>
      <c r="K22" s="25">
        <v>4</v>
      </c>
      <c r="L22" s="28" t="s">
        <v>6</v>
      </c>
      <c r="M22" s="29"/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Ницинский</v>
      </c>
      <c r="D25" s="75"/>
      <c r="E25" s="76"/>
      <c r="F25" s="26">
        <v>13</v>
      </c>
      <c r="G25" s="27">
        <v>10</v>
      </c>
      <c r="H25" s="77" t="str">
        <f ca="1">IF(ISBLANK(INDIRECT(ADDRESS(K25*2+2,3))),"",INDIRECT(ADDRESS(K25*2+2,3)))</f>
        <v>Медведев</v>
      </c>
      <c r="I25" s="75"/>
      <c r="J25" s="75"/>
      <c r="K25" s="25">
        <v>4</v>
      </c>
      <c r="L25" s="28" t="s">
        <v>6</v>
      </c>
      <c r="M25" s="29"/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Борисов</v>
      </c>
      <c r="D26" s="75"/>
      <c r="E26" s="76"/>
      <c r="F26" s="26">
        <v>5</v>
      </c>
      <c r="G26" s="27">
        <v>13</v>
      </c>
      <c r="H26" s="77" t="str">
        <f ca="1">IF(ISBLANK(INDIRECT(ADDRESS(K26*2+2,3))),"",INDIRECT(ADDRESS(K26*2+2,3)))</f>
        <v>Гоцфрид</v>
      </c>
      <c r="I26" s="75"/>
      <c r="J26" s="75"/>
      <c r="K26" s="25">
        <v>3</v>
      </c>
      <c r="L26" s="28" t="s">
        <v>6</v>
      </c>
      <c r="M26" s="29"/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Давыдов</v>
      </c>
      <c r="D27" s="75"/>
      <c r="E27" s="76"/>
      <c r="F27" s="26">
        <v>8</v>
      </c>
      <c r="G27" s="27">
        <v>13</v>
      </c>
      <c r="H27" s="77" t="str">
        <f ca="1">IF(ISBLANK(INDIRECT(ADDRESS(K27*2+2,3))),"",INDIRECT(ADDRESS(K27*2+2,3)))</f>
        <v>Догадин</v>
      </c>
      <c r="I27" s="75"/>
      <c r="J27" s="75"/>
      <c r="K27" s="25">
        <v>2</v>
      </c>
      <c r="L27" s="28" t="s">
        <v>6</v>
      </c>
      <c r="M27" s="29"/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Догадин</v>
      </c>
      <c r="D30" s="75"/>
      <c r="E30" s="76"/>
      <c r="F30" s="26">
        <v>13</v>
      </c>
      <c r="G30" s="27">
        <v>4</v>
      </c>
      <c r="H30" s="77" t="str">
        <f ca="1">IF(ISBLANK(INDIRECT(ADDRESS(K30*2+2,3))),"",INDIRECT(ADDRESS(K30*2+2,3)))</f>
        <v>Ницинский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Гоцфрид</v>
      </c>
      <c r="D31" s="75"/>
      <c r="E31" s="76"/>
      <c r="F31" s="26">
        <v>13</v>
      </c>
      <c r="G31" s="27">
        <v>6</v>
      </c>
      <c r="H31" s="77" t="str">
        <f ca="1">IF(ISBLANK(INDIRECT(ADDRESS(K31*2+2,3))),"",INDIRECT(ADDRESS(K31*2+2,3)))</f>
        <v>Давыдов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Медведев</v>
      </c>
      <c r="D32" s="75"/>
      <c r="E32" s="76"/>
      <c r="F32" s="26">
        <v>13</v>
      </c>
      <c r="G32" s="27">
        <v>5</v>
      </c>
      <c r="H32" s="77" t="str">
        <f ca="1">IF(ISBLANK(INDIRECT(ADDRESS(K32*2+2,3))),"",INDIRECT(ADDRESS(K32*2+2,3)))</f>
        <v>Борисов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Ницинский</v>
      </c>
      <c r="D35" s="75"/>
      <c r="E35" s="76"/>
      <c r="F35" s="26">
        <v>10</v>
      </c>
      <c r="G35" s="27">
        <v>13</v>
      </c>
      <c r="H35" s="77" t="str">
        <f ca="1">IF(ISBLANK(INDIRECT(ADDRESS(K35*2+2,3))),"",INDIRECT(ADDRESS(K35*2+2,3)))</f>
        <v>Борисов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Давыдов</v>
      </c>
      <c r="D36" s="75"/>
      <c r="E36" s="76"/>
      <c r="F36" s="26">
        <v>13</v>
      </c>
      <c r="G36" s="27">
        <v>9</v>
      </c>
      <c r="H36" s="77" t="str">
        <f ca="1">IF(ISBLANK(INDIRECT(ADDRESS(K36*2+2,3))),"",INDIRECT(ADDRESS(K36*2+2,3)))</f>
        <v>Медведев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Догадин</v>
      </c>
      <c r="D37" s="75"/>
      <c r="E37" s="76"/>
      <c r="F37" s="26">
        <v>9</v>
      </c>
      <c r="G37" s="27">
        <v>13</v>
      </c>
      <c r="H37" s="77" t="str">
        <f ca="1">IF(ISBLANK(INDIRECT(ADDRESS(K37*2+2,3))),"",INDIRECT(ADDRESS(K37*2+2,3)))</f>
        <v>Гоцфрид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Гоцфрид</v>
      </c>
      <c r="D40" s="75"/>
      <c r="E40" s="76"/>
      <c r="F40" s="26">
        <v>13</v>
      </c>
      <c r="G40" s="27">
        <v>6</v>
      </c>
      <c r="H40" s="77" t="str">
        <f ca="1">IF(ISBLANK(INDIRECT(ADDRESS(K40*2+2,3))),"",INDIRECT(ADDRESS(K40*2+2,3)))</f>
        <v>Ницинский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Медведев</v>
      </c>
      <c r="D41" s="75"/>
      <c r="E41" s="76"/>
      <c r="F41" s="26">
        <v>6</v>
      </c>
      <c r="G41" s="27">
        <v>13</v>
      </c>
      <c r="H41" s="77" t="str">
        <f ca="1">IF(ISBLANK(INDIRECT(ADDRESS(K41*2+2,3))),"",INDIRECT(ADDRESS(K41*2+2,3)))</f>
        <v>Догадин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Борисов</v>
      </c>
      <c r="D42" s="75"/>
      <c r="E42" s="76"/>
      <c r="F42" s="26">
        <v>7</v>
      </c>
      <c r="G42" s="27">
        <v>13</v>
      </c>
      <c r="H42" s="77" t="str">
        <f ca="1">IF(ISBLANK(INDIRECT(ADDRESS(K42*2+2,3))),"",INDIRECT(ADDRESS(K42*2+2,3)))</f>
        <v>Давыдов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25">
      <c r="B1" s="97" t="s">
        <v>103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4" ht="15.75" thickBot="1" x14ac:dyDescent="0.3">
      <c r="M2"/>
    </row>
    <row r="3" spans="1:14" ht="30" customHeight="1" thickBot="1" x14ac:dyDescent="0.3">
      <c r="B3" s="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2" t="s">
        <v>176</v>
      </c>
      <c r="D4" s="103"/>
      <c r="E4" s="104"/>
      <c r="F4" s="8" t="s">
        <v>4</v>
      </c>
      <c r="G4" s="9" t="str">
        <f ca="1">INDIRECT(ADDRESS(27,6))&amp;":"&amp;INDIRECT(ADDRESS(27,7))</f>
        <v>7:13</v>
      </c>
      <c r="H4" s="9" t="str">
        <f ca="1">INDIRECT(ADDRESS(31,7))&amp;":"&amp;INDIRECT(ADDRESS(31,6))</f>
        <v>5:13</v>
      </c>
      <c r="I4" s="9" t="str">
        <f ca="1">INDIRECT(ADDRESS(36,6))&amp;":"&amp;INDIRECT(ADDRESS(36,7))</f>
        <v>6:13</v>
      </c>
      <c r="J4" s="9" t="str">
        <f ca="1">INDIRECT(ADDRESS(42,7))&amp;":"&amp;INDIRECT(ADDRESS(42,6))</f>
        <v>13:4</v>
      </c>
      <c r="K4" s="10" t="str">
        <f ca="1">INDIRECT(ADDRESS(20,6))&amp;":"&amp;INDIRECT(ADDRESS(20,7))</f>
        <v>9:13</v>
      </c>
      <c r="L4" s="105">
        <f ca="1">IF(COUNT(F5:K5)=0,"",COUNTIF(F5:K5,"&gt;0")+0.5*COUNTIF(F5:K5,0))</f>
        <v>1</v>
      </c>
      <c r="M4" s="11"/>
      <c r="N4" s="96">
        <v>5</v>
      </c>
    </row>
    <row r="5" spans="1:14" ht="24" customHeight="1" x14ac:dyDescent="0.25">
      <c r="A5" s="6"/>
      <c r="B5" s="91"/>
      <c r="C5" s="81"/>
      <c r="D5" s="82"/>
      <c r="E5" s="83"/>
      <c r="F5" s="12" t="s">
        <v>4</v>
      </c>
      <c r="G5" s="13">
        <f ca="1">IF(LEN(INDIRECT(ADDRESS(ROW()-1, COLUMN())))=1,"",INDIRECT(ADDRESS(27,6))-INDIRECT(ADDRESS(27,7)))</f>
        <v>-6</v>
      </c>
      <c r="H5" s="13">
        <f ca="1">IF(LEN(INDIRECT(ADDRESS(ROW()-1, COLUMN())))=1,"",INDIRECT(ADDRESS(31,7))-INDIRECT(ADDRESS(31,6)))</f>
        <v>-8</v>
      </c>
      <c r="I5" s="13">
        <f ca="1">IF(LEN(INDIRECT(ADDRESS(ROW()-1, COLUMN())))=1,"",INDIRECT(ADDRESS(36,6))-INDIRECT(ADDRESS(36,7)))</f>
        <v>-7</v>
      </c>
      <c r="J5" s="13">
        <f ca="1">IF(LEN(INDIRECT(ADDRESS(ROW()-1, COLUMN())))=1,"",INDIRECT(ADDRESS(42,7))-INDIRECT(ADDRESS(42,6)))</f>
        <v>9</v>
      </c>
      <c r="K5" s="14">
        <f ca="1">IF(LEN(INDIRECT(ADDRESS(ROW()-1, COLUMN())))=1,"",INDIRECT(ADDRESS(20,6))-INDIRECT(ADDRESS(20,7)))</f>
        <v>-4</v>
      </c>
      <c r="L5" s="87"/>
      <c r="M5" s="13">
        <f ca="1">IF(COUNT(F5:K5)=0,"",SUM(F5:K5))</f>
        <v>-16</v>
      </c>
      <c r="N5" s="92"/>
    </row>
    <row r="6" spans="1:14" ht="24" customHeight="1" x14ac:dyDescent="0.25">
      <c r="A6" s="6"/>
      <c r="B6" s="79">
        <v>2</v>
      </c>
      <c r="C6" s="93" t="s">
        <v>177</v>
      </c>
      <c r="D6" s="94"/>
      <c r="E6" s="95"/>
      <c r="F6" s="15" t="str">
        <f ca="1">INDIRECT(ADDRESS(27,7))&amp;":"&amp;INDIRECT(ADDRESS(27,6))</f>
        <v>13:7</v>
      </c>
      <c r="G6" s="16" t="s">
        <v>4</v>
      </c>
      <c r="H6" s="17" t="str">
        <f ca="1">INDIRECT(ADDRESS(37,6))&amp;":"&amp;INDIRECT(ADDRESS(37,7))</f>
        <v>13:10</v>
      </c>
      <c r="I6" s="17" t="str">
        <f ca="1">INDIRECT(ADDRESS(41,7))&amp;":"&amp;INDIRECT(ADDRESS(41,6))</f>
        <v>12:11</v>
      </c>
      <c r="J6" s="17" t="str">
        <f ca="1">INDIRECT(ADDRESS(21,6))&amp;":"&amp;INDIRECT(ADDRESS(21,7))</f>
        <v>12:13</v>
      </c>
      <c r="K6" s="18" t="str">
        <f ca="1">INDIRECT(ADDRESS(30,6))&amp;":"&amp;INDIRECT(ADDRESS(30,7))</f>
        <v>13:9</v>
      </c>
      <c r="L6" s="87">
        <f ca="1">IF(COUNT(F7:K7)=0,"",COUNTIF(F7:K7,"&gt;0")+0.5*COUNTIF(F7:K7,0))</f>
        <v>4</v>
      </c>
      <c r="M6" s="13"/>
      <c r="N6" s="89">
        <v>1</v>
      </c>
    </row>
    <row r="7" spans="1:14" ht="24" customHeight="1" x14ac:dyDescent="0.25">
      <c r="A7" s="6"/>
      <c r="B7" s="91"/>
      <c r="C7" s="93"/>
      <c r="D7" s="94"/>
      <c r="E7" s="95"/>
      <c r="F7" s="19">
        <f ca="1">IF(LEN(INDIRECT(ADDRESS(ROW()-1, COLUMN())))=1,"",INDIRECT(ADDRESS(27,7))-INDIRECT(ADDRESS(27,6)))</f>
        <v>6</v>
      </c>
      <c r="G7" s="20" t="s">
        <v>4</v>
      </c>
      <c r="H7" s="13">
        <f ca="1">IF(LEN(INDIRECT(ADDRESS(ROW()-1, COLUMN())))=1,"",INDIRECT(ADDRESS(37,6))-INDIRECT(ADDRESS(37,7)))</f>
        <v>3</v>
      </c>
      <c r="I7" s="13">
        <f ca="1">IF(LEN(INDIRECT(ADDRESS(ROW()-1, COLUMN())))=1,"",INDIRECT(ADDRESS(41,7))-INDIRECT(ADDRESS(41,6)))</f>
        <v>1</v>
      </c>
      <c r="J7" s="13">
        <f ca="1">IF(LEN(INDIRECT(ADDRESS(ROW()-1, COLUMN())))=1,"",INDIRECT(ADDRESS(21,6))-INDIRECT(ADDRESS(21,7)))</f>
        <v>-1</v>
      </c>
      <c r="K7" s="14">
        <f ca="1">IF(LEN(INDIRECT(ADDRESS(ROW()-1, COLUMN())))=1,"",INDIRECT(ADDRESS(30,6))-INDIRECT(ADDRESS(30,7)))</f>
        <v>4</v>
      </c>
      <c r="L7" s="87"/>
      <c r="M7" s="13">
        <f ca="1">IF(COUNT(F7:K7)=0,"",SUM(F7:K7))</f>
        <v>13</v>
      </c>
      <c r="N7" s="92"/>
    </row>
    <row r="8" spans="1:14" ht="24" customHeight="1" x14ac:dyDescent="0.25">
      <c r="A8" s="6"/>
      <c r="B8" s="79">
        <v>3</v>
      </c>
      <c r="C8" s="93" t="s">
        <v>178</v>
      </c>
      <c r="D8" s="94"/>
      <c r="E8" s="95"/>
      <c r="F8" s="15" t="str">
        <f ca="1">INDIRECT(ADDRESS(31,6))&amp;":"&amp;INDIRECT(ADDRESS(31,7))</f>
        <v>13:5</v>
      </c>
      <c r="G8" s="17" t="str">
        <f ca="1">INDIRECT(ADDRESS(37,7))&amp;":"&amp;INDIRECT(ADDRESS(37,6))</f>
        <v>10:13</v>
      </c>
      <c r="H8" s="16" t="s">
        <v>4</v>
      </c>
      <c r="I8" s="17" t="str">
        <f ca="1">INDIRECT(ADDRESS(22,6))&amp;":"&amp;INDIRECT(ADDRESS(22,7))</f>
        <v>13:4</v>
      </c>
      <c r="J8" s="17" t="str">
        <f ca="1">INDIRECT(ADDRESS(26,7))&amp;":"&amp;INDIRECT(ADDRESS(26,6))</f>
        <v>13:6</v>
      </c>
      <c r="K8" s="18" t="str">
        <f ca="1">INDIRECT(ADDRESS(40,6))&amp;":"&amp;INDIRECT(ADDRESS(40,7))</f>
        <v>10:13</v>
      </c>
      <c r="L8" s="87">
        <f ca="1">IF(COUNT(F9:K9)=0,"",COUNTIF(F9:K9,"&gt;0")+0.5*COUNTIF(F9:K9,0))</f>
        <v>3</v>
      </c>
      <c r="M8" s="13">
        <v>6</v>
      </c>
      <c r="N8" s="89">
        <v>2</v>
      </c>
    </row>
    <row r="9" spans="1:14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COLUMN())))=1,"",INDIRECT(ADDRESS(31,6))-INDIRECT(ADDRESS(31,7)))</f>
        <v>8</v>
      </c>
      <c r="G9" s="13">
        <f ca="1">IF(LEN(INDIRECT(ADDRESS(ROW()-1, COLUMN())))=1,"",INDIRECT(ADDRESS(37,7))-INDIRECT(ADDRESS(37,6)))</f>
        <v>-3</v>
      </c>
      <c r="H9" s="20" t="s">
        <v>4</v>
      </c>
      <c r="I9" s="13">
        <f ca="1">IF(LEN(INDIRECT(ADDRESS(ROW()-1, COLUMN())))=1,"",INDIRECT(ADDRESS(22,6))-INDIRECT(ADDRESS(22,7)))</f>
        <v>9</v>
      </c>
      <c r="J9" s="13">
        <f ca="1">IF(LEN(INDIRECT(ADDRESS(ROW()-1, COLUMN())))=1,"",INDIRECT(ADDRESS(26,7))-INDIRECT(ADDRESS(26,6)))</f>
        <v>7</v>
      </c>
      <c r="K9" s="14">
        <f ca="1">IF(LEN(INDIRECT(ADDRESS(ROW()-1, COLUMN())))=1,"",INDIRECT(ADDRESS(40,6))-INDIRECT(ADDRESS(40,7)))</f>
        <v>-3</v>
      </c>
      <c r="L9" s="87"/>
      <c r="M9" s="13">
        <f ca="1">IF(COUNT(F9:K9)=0,"",SUM(F9:K9))</f>
        <v>18</v>
      </c>
      <c r="N9" s="92"/>
    </row>
    <row r="10" spans="1:14" ht="24" customHeight="1" x14ac:dyDescent="0.25">
      <c r="A10" s="6"/>
      <c r="B10" s="79">
        <v>4</v>
      </c>
      <c r="C10" s="81" t="s">
        <v>179</v>
      </c>
      <c r="D10" s="82"/>
      <c r="E10" s="83"/>
      <c r="F10" s="15" t="str">
        <f ca="1">INDIRECT(ADDRESS(36,7))&amp;":"&amp;INDIRECT(ADDRESS(36,6))</f>
        <v>13:6</v>
      </c>
      <c r="G10" s="17" t="str">
        <f ca="1">INDIRECT(ADDRESS(41,6))&amp;":"&amp;INDIRECT(ADDRESS(41,7))</f>
        <v>11:12</v>
      </c>
      <c r="H10" s="17" t="str">
        <f ca="1">INDIRECT(ADDRESS(22,7))&amp;":"&amp;INDIRECT(ADDRESS(22,6))</f>
        <v>4:13</v>
      </c>
      <c r="I10" s="16" t="s">
        <v>4</v>
      </c>
      <c r="J10" s="17" t="str">
        <f ca="1">INDIRECT(ADDRESS(32,6))&amp;":"&amp;INDIRECT(ADDRESS(32,7))</f>
        <v>13:7</v>
      </c>
      <c r="K10" s="18" t="str">
        <f ca="1">INDIRECT(ADDRESS(25,7))&amp;":"&amp;INDIRECT(ADDRESS(25,6))</f>
        <v>13:11</v>
      </c>
      <c r="L10" s="87">
        <f ca="1">IF(COUNT(F11:K11)=0,"",COUNTIF(F11:K11,"&gt;0")+0.5*COUNTIF(F11:K11,0))</f>
        <v>3</v>
      </c>
      <c r="M10" s="13">
        <v>-7</v>
      </c>
      <c r="N10" s="89">
        <v>4</v>
      </c>
    </row>
    <row r="11" spans="1:14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COLUMN())))=1,"",INDIRECT(ADDRESS(36,7))-INDIRECT(ADDRESS(36,6)))</f>
        <v>7</v>
      </c>
      <c r="G11" s="13">
        <f ca="1">IF(LEN(INDIRECT(ADDRESS(ROW()-1, COLUMN())))=1,"",INDIRECT(ADDRESS(41,6))-INDIRECT(ADDRESS(41,7)))</f>
        <v>-1</v>
      </c>
      <c r="H11" s="13">
        <f ca="1">IF(LEN(INDIRECT(ADDRESS(ROW()-1, COLUMN())))=1,"",INDIRECT(ADDRESS(22,7))-INDIRECT(ADDRESS(22,6)))</f>
        <v>-9</v>
      </c>
      <c r="I11" s="20" t="s">
        <v>4</v>
      </c>
      <c r="J11" s="13">
        <f ca="1">IF(LEN(INDIRECT(ADDRESS(ROW()-1, COLUMN())))=1,"",INDIRECT(ADDRESS(32,6))-INDIRECT(ADDRESS(32,7)))</f>
        <v>6</v>
      </c>
      <c r="K11" s="14">
        <f ca="1">IF(LEN(INDIRECT(ADDRESS(ROW()-1, COLUMN())))=1,"",INDIRECT(ADDRESS(25,7))-INDIRECT(ADDRESS(25,6)))</f>
        <v>2</v>
      </c>
      <c r="L11" s="87"/>
      <c r="M11" s="13">
        <f ca="1">IF(COUNT(F11:K11)=0,"",SUM(F11:K11))</f>
        <v>5</v>
      </c>
      <c r="N11" s="92"/>
    </row>
    <row r="12" spans="1:14" ht="24" customHeight="1" x14ac:dyDescent="0.25">
      <c r="A12" s="6"/>
      <c r="B12" s="79">
        <v>5</v>
      </c>
      <c r="C12" s="81" t="s">
        <v>180</v>
      </c>
      <c r="D12" s="82"/>
      <c r="E12" s="83"/>
      <c r="F12" s="15" t="str">
        <f ca="1">INDIRECT(ADDRESS(42,6))&amp;":"&amp;INDIRECT(ADDRESS(42,7))</f>
        <v>4:13</v>
      </c>
      <c r="G12" s="17" t="str">
        <f ca="1">INDIRECT(ADDRESS(21,7))&amp;":"&amp;INDIRECT(ADDRESS(21,6))</f>
        <v>13:12</v>
      </c>
      <c r="H12" s="17" t="str">
        <f ca="1">INDIRECT(ADDRESS(26,6))&amp;":"&amp;INDIRECT(ADDRESS(26,7))</f>
        <v>6:13</v>
      </c>
      <c r="I12" s="17" t="str">
        <f ca="1">INDIRECT(ADDRESS(32,7))&amp;":"&amp;INDIRECT(ADDRESS(32,6))</f>
        <v>7:13</v>
      </c>
      <c r="J12" s="16" t="s">
        <v>4</v>
      </c>
      <c r="K12" s="18" t="str">
        <f ca="1">INDIRECT(ADDRESS(35,7))&amp;":"&amp;INDIRECT(ADDRESS(35,6))</f>
        <v>9:13</v>
      </c>
      <c r="L12" s="87">
        <f ca="1">IF(COUNT(F13:K13)=0,"",COUNTIF(F13:K13,"&gt;0")+0.5*COUNTIF(F13:K13,0))</f>
        <v>1</v>
      </c>
      <c r="M12" s="13"/>
      <c r="N12" s="89">
        <v>6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-9</v>
      </c>
      <c r="G13" s="13">
        <f ca="1">IF(LEN(INDIRECT(ADDRESS(ROW()-1, COLUMN())))=1,"",INDIRECT(ADDRESS(21,7))-INDIRECT(ADDRESS(21,6)))</f>
        <v>1</v>
      </c>
      <c r="H13" s="13">
        <f ca="1">IF(LEN(INDIRECT(ADDRESS(ROW()-1, COLUMN())))=1,"",INDIRECT(ADDRESS(26,6))-INDIRECT(ADDRESS(26,7)))</f>
        <v>-7</v>
      </c>
      <c r="I13" s="13">
        <f ca="1">IF(LEN(INDIRECT(ADDRESS(ROW()-1, COLUMN())))=1,"",INDIRECT(ADDRESS(32,7))-INDIRECT(ADDRESS(32,6)))</f>
        <v>-6</v>
      </c>
      <c r="J13" s="20" t="s">
        <v>4</v>
      </c>
      <c r="K13" s="14">
        <f ca="1">IF(LEN(INDIRECT(ADDRESS(ROW()-1, COLUMN())))=1,"",INDIRECT(ADDRESS(35,7))-INDIRECT(ADDRESS(35,6)))</f>
        <v>-4</v>
      </c>
      <c r="L13" s="87"/>
      <c r="M13" s="13">
        <f ca="1">IF(COUNT(F13:K13)=0,"",SUM(F13:K13))</f>
        <v>-25</v>
      </c>
      <c r="N13" s="92"/>
    </row>
    <row r="14" spans="1:14" ht="24" customHeight="1" x14ac:dyDescent="0.25">
      <c r="A14" s="6"/>
      <c r="B14" s="79">
        <v>6</v>
      </c>
      <c r="C14" s="81" t="s">
        <v>181</v>
      </c>
      <c r="D14" s="82"/>
      <c r="E14" s="83"/>
      <c r="F14" s="15" t="str">
        <f ca="1">INDIRECT(ADDRESS(20,7))&amp;":"&amp;INDIRECT(ADDRESS(20,6))</f>
        <v>13:9</v>
      </c>
      <c r="G14" s="17" t="str">
        <f ca="1">INDIRECT(ADDRESS(30,7))&amp;":"&amp;INDIRECT(ADDRESS(30,6))</f>
        <v>9:13</v>
      </c>
      <c r="H14" s="17" t="str">
        <f ca="1">INDIRECT(ADDRESS(40,7))&amp;":"&amp;INDIRECT(ADDRESS(40,6))</f>
        <v>13:10</v>
      </c>
      <c r="I14" s="17" t="str">
        <f ca="1">INDIRECT(ADDRESS(25,6))&amp;":"&amp;INDIRECT(ADDRESS(25,7))</f>
        <v>11:13</v>
      </c>
      <c r="J14" s="17" t="str">
        <f ca="1">INDIRECT(ADDRESS(35,6))&amp;":"&amp;INDIRECT(ADDRESS(35,7))</f>
        <v>13:9</v>
      </c>
      <c r="K14" s="21" t="s">
        <v>4</v>
      </c>
      <c r="L14" s="87">
        <f ca="1">IF(COUNT(F15:K15)=0,"",COUNTIF(F15:K15,"&gt;0")+0.5*COUNTIF(F15:K15,0))</f>
        <v>3</v>
      </c>
      <c r="M14" s="13">
        <v>1</v>
      </c>
      <c r="N14" s="89">
        <v>3</v>
      </c>
    </row>
    <row r="15" spans="1:14" ht="24" customHeight="1" thickBot="1" x14ac:dyDescent="0.3">
      <c r="A15" s="6"/>
      <c r="B15" s="80"/>
      <c r="C15" s="84"/>
      <c r="D15" s="85"/>
      <c r="E15" s="86"/>
      <c r="F15" s="22">
        <f ca="1">IF(LEN(INDIRECT(ADDRESS(ROW()-1, COLUMN())))=1,"",INDIRECT(ADDRESS(20,7))-INDIRECT(ADDRESS(20,6)))</f>
        <v>4</v>
      </c>
      <c r="G15" s="23">
        <f ca="1">IF(LEN(INDIRECT(ADDRESS(ROW()-1, COLUMN())))=1,"",INDIRECT(ADDRESS(30,7))-INDIRECT(ADDRESS(30,6)))</f>
        <v>-4</v>
      </c>
      <c r="H15" s="23">
        <f ca="1">IF(LEN(INDIRECT(ADDRESS(ROW()-1, COLUMN())))=1,"",INDIRECT(ADDRESS(40,7))-INDIRECT(ADDRESS(40,6)))</f>
        <v>3</v>
      </c>
      <c r="I15" s="23">
        <f ca="1">IF(LEN(INDIRECT(ADDRESS(ROW()-1, COLUMN())))=1,"",INDIRECT(ADDRESS(25,6))-INDIRECT(ADDRESS(25,7)))</f>
        <v>-2</v>
      </c>
      <c r="J15" s="23">
        <f ca="1">IF(LEN(INDIRECT(ADDRESS(ROW()-1, COLUMN())))=1,"",INDIRECT(ADDRESS(35,6))-INDIRECT(ADDRESS(35,7)))</f>
        <v>4</v>
      </c>
      <c r="K15" s="24" t="s">
        <v>4</v>
      </c>
      <c r="L15" s="88"/>
      <c r="M15" s="23">
        <f ca="1">IF(COUNT(F15:K15)=0,"",SUM(F15:K15))</f>
        <v>5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Трофимов Александр</v>
      </c>
      <c r="D20" s="75"/>
      <c r="E20" s="76"/>
      <c r="F20" s="26">
        <v>9</v>
      </c>
      <c r="G20" s="27">
        <v>13</v>
      </c>
      <c r="H20" s="77" t="str">
        <f ca="1">IF(ISBLANK(INDIRECT(ADDRESS(K20*2+2,3))),"",INDIRECT(ADDRESS(K20*2+2,3)))</f>
        <v>Воронов Олег</v>
      </c>
      <c r="I20" s="75"/>
      <c r="J20" s="75"/>
      <c r="K20" s="25">
        <v>6</v>
      </c>
      <c r="L20" s="28" t="s">
        <v>6</v>
      </c>
      <c r="M20" s="29"/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Чашин Василий</v>
      </c>
      <c r="D21" s="75"/>
      <c r="E21" s="76"/>
      <c r="F21" s="26">
        <v>12</v>
      </c>
      <c r="G21" s="27">
        <v>13</v>
      </c>
      <c r="H21" s="77" t="str">
        <f ca="1">IF(ISBLANK(INDIRECT(ADDRESS(K21*2+2,3))),"",INDIRECT(ADDRESS(K21*2+2,3)))</f>
        <v>Журавлев Всеволод</v>
      </c>
      <c r="I21" s="75"/>
      <c r="J21" s="75"/>
      <c r="K21" s="25">
        <v>5</v>
      </c>
      <c r="L21" s="28" t="s">
        <v>6</v>
      </c>
      <c r="M21" s="29"/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Осокин Евгений</v>
      </c>
      <c r="D22" s="75"/>
      <c r="E22" s="76"/>
      <c r="F22" s="26">
        <v>13</v>
      </c>
      <c r="G22" s="27">
        <v>4</v>
      </c>
      <c r="H22" s="77" t="str">
        <f ca="1">IF(ISBLANK(INDIRECT(ADDRESS(K22*2+2,3))),"",INDIRECT(ADDRESS(K22*2+2,3)))</f>
        <v>Дубовицкий Игорь</v>
      </c>
      <c r="I22" s="75"/>
      <c r="J22" s="75"/>
      <c r="K22" s="25">
        <v>4</v>
      </c>
      <c r="L22" s="28" t="s">
        <v>6</v>
      </c>
      <c r="M22" s="29"/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Воронов Олег</v>
      </c>
      <c r="D25" s="75"/>
      <c r="E25" s="76"/>
      <c r="F25" s="26">
        <v>11</v>
      </c>
      <c r="G25" s="27">
        <v>13</v>
      </c>
      <c r="H25" s="77" t="str">
        <f ca="1">IF(ISBLANK(INDIRECT(ADDRESS(K25*2+2,3))),"",INDIRECT(ADDRESS(K25*2+2,3)))</f>
        <v>Дубовицкий Игорь</v>
      </c>
      <c r="I25" s="75"/>
      <c r="J25" s="75"/>
      <c r="K25" s="25">
        <v>4</v>
      </c>
      <c r="L25" s="28" t="s">
        <v>6</v>
      </c>
      <c r="M25" s="29"/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Журавлев Всеволод</v>
      </c>
      <c r="D26" s="75"/>
      <c r="E26" s="76"/>
      <c r="F26" s="26">
        <v>6</v>
      </c>
      <c r="G26" s="27">
        <v>13</v>
      </c>
      <c r="H26" s="77" t="str">
        <f ca="1">IF(ISBLANK(INDIRECT(ADDRESS(K26*2+2,3))),"",INDIRECT(ADDRESS(K26*2+2,3)))</f>
        <v>Осокин Евгений</v>
      </c>
      <c r="I26" s="75"/>
      <c r="J26" s="75"/>
      <c r="K26" s="25">
        <v>3</v>
      </c>
      <c r="L26" s="28" t="s">
        <v>6</v>
      </c>
      <c r="M26" s="29"/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Трофимов Александр</v>
      </c>
      <c r="D27" s="75"/>
      <c r="E27" s="76"/>
      <c r="F27" s="26">
        <v>7</v>
      </c>
      <c r="G27" s="27">
        <v>13</v>
      </c>
      <c r="H27" s="77" t="str">
        <f ca="1">IF(ISBLANK(INDIRECT(ADDRESS(K27*2+2,3))),"",INDIRECT(ADDRESS(K27*2+2,3)))</f>
        <v>Чашин Василий</v>
      </c>
      <c r="I27" s="75"/>
      <c r="J27" s="75"/>
      <c r="K27" s="25">
        <v>2</v>
      </c>
      <c r="L27" s="28" t="s">
        <v>6</v>
      </c>
      <c r="M27" s="29"/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Чашин Василий</v>
      </c>
      <c r="D30" s="75"/>
      <c r="E30" s="76"/>
      <c r="F30" s="26">
        <v>13</v>
      </c>
      <c r="G30" s="27">
        <v>9</v>
      </c>
      <c r="H30" s="77" t="str">
        <f ca="1">IF(ISBLANK(INDIRECT(ADDRESS(K30*2+2,3))),"",INDIRECT(ADDRESS(K30*2+2,3)))</f>
        <v>Воронов Олег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Осокин Евгений</v>
      </c>
      <c r="D31" s="75"/>
      <c r="E31" s="76"/>
      <c r="F31" s="26">
        <v>13</v>
      </c>
      <c r="G31" s="27">
        <v>5</v>
      </c>
      <c r="H31" s="77" t="str">
        <f ca="1">IF(ISBLANK(INDIRECT(ADDRESS(K31*2+2,3))),"",INDIRECT(ADDRESS(K31*2+2,3)))</f>
        <v>Трофимов Александр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Дубовицкий Игорь</v>
      </c>
      <c r="D32" s="75"/>
      <c r="E32" s="76"/>
      <c r="F32" s="26">
        <v>13</v>
      </c>
      <c r="G32" s="27">
        <v>7</v>
      </c>
      <c r="H32" s="77" t="str">
        <f ca="1">IF(ISBLANK(INDIRECT(ADDRESS(K32*2+2,3))),"",INDIRECT(ADDRESS(K32*2+2,3)))</f>
        <v>Журавлев Всеволод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Воронов Олег</v>
      </c>
      <c r="D35" s="75"/>
      <c r="E35" s="76"/>
      <c r="F35" s="26">
        <v>13</v>
      </c>
      <c r="G35" s="27">
        <v>9</v>
      </c>
      <c r="H35" s="77" t="str">
        <f ca="1">IF(ISBLANK(INDIRECT(ADDRESS(K35*2+2,3))),"",INDIRECT(ADDRESS(K35*2+2,3)))</f>
        <v>Журавлев Всеволод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Трофимов Александр</v>
      </c>
      <c r="D36" s="75"/>
      <c r="E36" s="76"/>
      <c r="F36" s="26">
        <v>6</v>
      </c>
      <c r="G36" s="27">
        <v>13</v>
      </c>
      <c r="H36" s="77" t="str">
        <f ca="1">IF(ISBLANK(INDIRECT(ADDRESS(K36*2+2,3))),"",INDIRECT(ADDRESS(K36*2+2,3)))</f>
        <v>Дубовицкий Игорь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Чашин Василий</v>
      </c>
      <c r="D37" s="75"/>
      <c r="E37" s="76"/>
      <c r="F37" s="26">
        <v>13</v>
      </c>
      <c r="G37" s="27">
        <v>10</v>
      </c>
      <c r="H37" s="77" t="str">
        <f ca="1">IF(ISBLANK(INDIRECT(ADDRESS(K37*2+2,3))),"",INDIRECT(ADDRESS(K37*2+2,3)))</f>
        <v>Осокин Евгений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Осокин Евгений</v>
      </c>
      <c r="D40" s="75"/>
      <c r="E40" s="76"/>
      <c r="F40" s="26">
        <v>10</v>
      </c>
      <c r="G40" s="27">
        <v>13</v>
      </c>
      <c r="H40" s="77" t="str">
        <f ca="1">IF(ISBLANK(INDIRECT(ADDRESS(K40*2+2,3))),"",INDIRECT(ADDRESS(K40*2+2,3)))</f>
        <v>Воронов Олег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Дубовицкий Игорь</v>
      </c>
      <c r="D41" s="75"/>
      <c r="E41" s="76"/>
      <c r="F41" s="26">
        <v>11</v>
      </c>
      <c r="G41" s="27">
        <v>12</v>
      </c>
      <c r="H41" s="77" t="str">
        <f ca="1">IF(ISBLANK(INDIRECT(ADDRESS(K41*2+2,3))),"",INDIRECT(ADDRESS(K41*2+2,3)))</f>
        <v>Чашин Василий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Журавлев Всеволод</v>
      </c>
      <c r="D42" s="75"/>
      <c r="E42" s="76"/>
      <c r="F42" s="26">
        <v>4</v>
      </c>
      <c r="G42" s="27">
        <v>13</v>
      </c>
      <c r="H42" s="77" t="str">
        <f ca="1">IF(ISBLANK(INDIRECT(ADDRESS(K42*2+2,3))),"",INDIRECT(ADDRESS(K42*2+2,3)))</f>
        <v>Трофимов Александр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O9" sqref="O9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59.25" customHeight="1" x14ac:dyDescent="0.4">
      <c r="B1" s="97" t="s">
        <v>217</v>
      </c>
      <c r="C1" s="97"/>
      <c r="D1" s="97"/>
      <c r="E1" s="97"/>
      <c r="F1" s="97"/>
      <c r="G1" s="97"/>
      <c r="H1" s="97"/>
      <c r="I1" s="97"/>
      <c r="J1" s="97"/>
      <c r="K1" s="97"/>
      <c r="L1" s="69" t="s">
        <v>218</v>
      </c>
      <c r="M1"/>
    </row>
    <row r="2" spans="1:13" ht="15.75" thickBot="1" x14ac:dyDescent="0.3">
      <c r="M2"/>
    </row>
    <row r="3" spans="1:13" ht="30" customHeight="1" thickBot="1" x14ac:dyDescent="0.3">
      <c r="A3" s="6"/>
      <c r="B3" s="62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62" t="s">
        <v>1</v>
      </c>
      <c r="L3" s="2" t="s">
        <v>2</v>
      </c>
      <c r="M3" s="32" t="s">
        <v>3</v>
      </c>
    </row>
    <row r="4" spans="1:13" ht="24" customHeight="1" x14ac:dyDescent="0.25">
      <c r="A4" s="6"/>
      <c r="B4" s="101">
        <v>1</v>
      </c>
      <c r="C4" s="109" t="s">
        <v>243</v>
      </c>
      <c r="D4" s="110"/>
      <c r="E4" s="111"/>
      <c r="F4" s="8" t="s">
        <v>4</v>
      </c>
      <c r="G4" s="9" t="str">
        <f ca="1">INDIRECT(ADDRESS(23,6))&amp;":"&amp;INDIRECT(ADDRESS(23,7))</f>
        <v>13:7</v>
      </c>
      <c r="H4" s="9" t="str">
        <f ca="1">INDIRECT(ADDRESS(26,7))&amp;":"&amp;INDIRECT(ADDRESS(26,6))</f>
        <v>13:6</v>
      </c>
      <c r="I4" s="9" t="str">
        <f ca="1">INDIRECT(ADDRESS(30,6))&amp;":"&amp;INDIRECT(ADDRESS(30,7))</f>
        <v>13:5</v>
      </c>
      <c r="J4" s="10" t="str">
        <f ca="1">INDIRECT(ADDRESS(35,7))&amp;":"&amp;INDIRECT(ADDRESS(35,6))</f>
        <v>5:13</v>
      </c>
      <c r="K4" s="123">
        <f ca="1">IF(COUNT(F5:J5)=0,"",COUNTIF(F5:J5,"&gt;0")+0.5*COUNTIF(F5:J5,0))</f>
        <v>3</v>
      </c>
      <c r="L4" s="11"/>
      <c r="M4" s="122">
        <v>2</v>
      </c>
    </row>
    <row r="5" spans="1:13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COLUMN())))=1,"",INDIRECT(ADDRESS(23,6))-INDIRECT(ADDRESS(23,7)))</f>
        <v>6</v>
      </c>
      <c r="H5" s="13">
        <f ca="1">IF(LEN(INDIRECT(ADDRESS(ROW()-1, COLUMN())))=1,"",INDIRECT(ADDRESS(26,7))-INDIRECT(ADDRESS(26,6)))</f>
        <v>7</v>
      </c>
      <c r="I5" s="13">
        <f ca="1">IF(LEN(INDIRECT(ADDRESS(ROW()-1, COLUMN())))=1,"",INDIRECT(ADDRESS(30,6))-INDIRECT(ADDRESS(30,7)))</f>
        <v>8</v>
      </c>
      <c r="J5" s="14">
        <f ca="1">IF(LEN(INDIRECT(ADDRESS(ROW()-1, COLUMN())))=1,"",INDIRECT(ADDRESS(35,7))-INDIRECT(ADDRESS(35,6)))</f>
        <v>-8</v>
      </c>
      <c r="K5" s="112"/>
      <c r="L5" s="13">
        <f ca="1">IF(COUNT(F5:J5)=0,"",SUM(F5:J5))</f>
        <v>13</v>
      </c>
      <c r="M5" s="120"/>
    </row>
    <row r="6" spans="1:13" ht="24" customHeight="1" x14ac:dyDescent="0.25">
      <c r="A6" s="6"/>
      <c r="B6" s="79">
        <v>2</v>
      </c>
      <c r="C6" s="81" t="s">
        <v>244</v>
      </c>
      <c r="D6" s="82"/>
      <c r="E6" s="83"/>
      <c r="F6" s="15" t="str">
        <f ca="1">INDIRECT(ADDRESS(23,7))&amp;":"&amp;INDIRECT(ADDRESS(23,6))</f>
        <v>7:13</v>
      </c>
      <c r="G6" s="16" t="s">
        <v>4</v>
      </c>
      <c r="H6" s="17" t="str">
        <f ca="1">INDIRECT(ADDRESS(31,6))&amp;":"&amp;INDIRECT(ADDRESS(31,7))</f>
        <v>11:13</v>
      </c>
      <c r="I6" s="17" t="str">
        <f ca="1">INDIRECT(ADDRESS(34,7))&amp;":"&amp;INDIRECT(ADDRESS(34,6))</f>
        <v>11:13</v>
      </c>
      <c r="J6" s="18" t="str">
        <f ca="1">INDIRECT(ADDRESS(18,6))&amp;":"&amp;INDIRECT(ADDRESS(18,7))</f>
        <v>6:13</v>
      </c>
      <c r="K6" s="112">
        <f ca="1">IF(COUNT(F7:J7)=0,"",COUNTIF(F7:J7,"&gt;0")+0.5*COUNTIF(F7:J7,0))</f>
        <v>0</v>
      </c>
      <c r="L6" s="13"/>
      <c r="M6" s="120">
        <v>5</v>
      </c>
    </row>
    <row r="7" spans="1:13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COLUMN())))=1,"",INDIRECT(ADDRESS(23,7))-INDIRECT(ADDRESS(23,6)))</f>
        <v>-6</v>
      </c>
      <c r="G7" s="20" t="s">
        <v>4</v>
      </c>
      <c r="H7" s="13">
        <f ca="1">IF(LEN(INDIRECT(ADDRESS(ROW()-1, COLUMN())))=1,"",INDIRECT(ADDRESS(31,6))-INDIRECT(ADDRESS(31,7)))</f>
        <v>-2</v>
      </c>
      <c r="I7" s="13">
        <f ca="1">IF(LEN(INDIRECT(ADDRESS(ROW()-1, COLUMN())))=1,"",INDIRECT(ADDRESS(34,7))-INDIRECT(ADDRESS(34,6)))</f>
        <v>-2</v>
      </c>
      <c r="J7" s="14">
        <f ca="1">IF(LEN(INDIRECT(ADDRESS(ROW()-1, COLUMN())))=1,"",INDIRECT(ADDRESS(18,6))-INDIRECT(ADDRESS(18,7)))</f>
        <v>-7</v>
      </c>
      <c r="K7" s="112"/>
      <c r="L7" s="13">
        <f ca="1">IF(COUNT(F7:J7)=0,"",SUM(F7:J7))</f>
        <v>-17</v>
      </c>
      <c r="M7" s="120"/>
    </row>
    <row r="8" spans="1:13" ht="24" customHeight="1" x14ac:dyDescent="0.25">
      <c r="A8" s="6"/>
      <c r="B8" s="79">
        <v>3</v>
      </c>
      <c r="C8" s="93" t="s">
        <v>245</v>
      </c>
      <c r="D8" s="94"/>
      <c r="E8" s="95"/>
      <c r="F8" s="15" t="str">
        <f ca="1">INDIRECT(ADDRESS(26,6))&amp;":"&amp;INDIRECT(ADDRESS(26,7))</f>
        <v>6:13</v>
      </c>
      <c r="G8" s="17" t="str">
        <f ca="1">INDIRECT(ADDRESS(31,7))&amp;":"&amp;INDIRECT(ADDRESS(31,6))</f>
        <v>13:11</v>
      </c>
      <c r="H8" s="16" t="s">
        <v>4</v>
      </c>
      <c r="I8" s="17" t="str">
        <f ca="1">INDIRECT(ADDRESS(19,6))&amp;":"&amp;INDIRECT(ADDRESS(19,7))</f>
        <v>9:13</v>
      </c>
      <c r="J8" s="18" t="str">
        <f ca="1">INDIRECT(ADDRESS(22,7))&amp;":"&amp;INDIRECT(ADDRESS(22,6))</f>
        <v>6:13</v>
      </c>
      <c r="K8" s="112">
        <f ca="1">IF(COUNT(F9:J9)=0,"",COUNTIF(F9:J9,"&gt;0")+0.5*COUNTIF(F9:J9,0))</f>
        <v>1</v>
      </c>
      <c r="L8" s="13"/>
      <c r="M8" s="120">
        <v>4</v>
      </c>
    </row>
    <row r="9" spans="1:13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COLUMN())))=1,"",INDIRECT(ADDRESS(26,6))-INDIRECT(ADDRESS(26,7)))</f>
        <v>-7</v>
      </c>
      <c r="G9" s="13">
        <f ca="1">IF(LEN(INDIRECT(ADDRESS(ROW()-1, COLUMN())))=1,"",INDIRECT(ADDRESS(31,7))-INDIRECT(ADDRESS(31,6)))</f>
        <v>2</v>
      </c>
      <c r="H9" s="20" t="s">
        <v>4</v>
      </c>
      <c r="I9" s="13">
        <f ca="1">IF(LEN(INDIRECT(ADDRESS(ROW()-1, COLUMN())))=1,"",INDIRECT(ADDRESS(19,6))-INDIRECT(ADDRESS(19,7)))</f>
        <v>-4</v>
      </c>
      <c r="J9" s="14">
        <f ca="1">IF(LEN(INDIRECT(ADDRESS(ROW()-1, COLUMN())))=1,"",INDIRECT(ADDRESS(22,7))-INDIRECT(ADDRESS(22,6)))</f>
        <v>-7</v>
      </c>
      <c r="K9" s="112"/>
      <c r="L9" s="13">
        <f ca="1">IF(COUNT(F9:J9)=0,"",SUM(F9:J9))</f>
        <v>-16</v>
      </c>
      <c r="M9" s="120"/>
    </row>
    <row r="10" spans="1:13" ht="24" customHeight="1" x14ac:dyDescent="0.25">
      <c r="A10" s="6"/>
      <c r="B10" s="79">
        <v>4</v>
      </c>
      <c r="C10" s="93" t="s">
        <v>253</v>
      </c>
      <c r="D10" s="94"/>
      <c r="E10" s="95"/>
      <c r="F10" s="15" t="str">
        <f ca="1">INDIRECT(ADDRESS(30,7))&amp;":"&amp;INDIRECT(ADDRESS(30,6))</f>
        <v>5:13</v>
      </c>
      <c r="G10" s="17" t="str">
        <f ca="1">INDIRECT(ADDRESS(34,6))&amp;":"&amp;INDIRECT(ADDRESS(34,7))</f>
        <v>13:11</v>
      </c>
      <c r="H10" s="17" t="str">
        <f ca="1">INDIRECT(ADDRESS(19,7))&amp;":"&amp;INDIRECT(ADDRESS(19,6))</f>
        <v>13:9</v>
      </c>
      <c r="I10" s="16" t="s">
        <v>4</v>
      </c>
      <c r="J10" s="18" t="str">
        <f ca="1">INDIRECT(ADDRESS(27,6))&amp;":"&amp;INDIRECT(ADDRESS(27,7))</f>
        <v>12:13</v>
      </c>
      <c r="K10" s="112">
        <f ca="1">IF(COUNT(F11:J11)=0,"",COUNTIF(F11:J11,"&gt;0")+0.5*COUNTIF(F11:J11,0))</f>
        <v>2</v>
      </c>
      <c r="L10" s="13"/>
      <c r="M10" s="120">
        <v>3</v>
      </c>
    </row>
    <row r="11" spans="1:13" ht="24" customHeight="1" x14ac:dyDescent="0.25">
      <c r="A11" s="6"/>
      <c r="B11" s="91"/>
      <c r="C11" s="93"/>
      <c r="D11" s="94"/>
      <c r="E11" s="95"/>
      <c r="F11" s="19">
        <f ca="1">IF(LEN(INDIRECT(ADDRESS(ROW()-1, COLUMN())))=1,"",INDIRECT(ADDRESS(30,7))-INDIRECT(ADDRESS(30,6)))</f>
        <v>-8</v>
      </c>
      <c r="G11" s="13">
        <f ca="1">IF(LEN(INDIRECT(ADDRESS(ROW()-1, COLUMN())))=1,"",INDIRECT(ADDRESS(34,6))-INDIRECT(ADDRESS(34,7)))</f>
        <v>2</v>
      </c>
      <c r="H11" s="13">
        <f ca="1">IF(LEN(INDIRECT(ADDRESS(ROW()-1, COLUMN())))=1,"",INDIRECT(ADDRESS(19,7))-INDIRECT(ADDRESS(19,6)))</f>
        <v>4</v>
      </c>
      <c r="I11" s="20" t="s">
        <v>4</v>
      </c>
      <c r="J11" s="14">
        <f ca="1">IF(LEN(INDIRECT(ADDRESS(ROW()-1, COLUMN())))=1,"",INDIRECT(ADDRESS(27,6))-INDIRECT(ADDRESS(27,7)))</f>
        <v>-1</v>
      </c>
      <c r="K11" s="112"/>
      <c r="L11" s="13">
        <f ca="1">IF(COUNT(F11:J11)=0,"",SUM(F11:J11))</f>
        <v>-3</v>
      </c>
      <c r="M11" s="120"/>
    </row>
    <row r="12" spans="1:13" ht="24" customHeight="1" x14ac:dyDescent="0.25">
      <c r="A12" s="6"/>
      <c r="B12" s="79">
        <v>5</v>
      </c>
      <c r="C12" s="93" t="s">
        <v>246</v>
      </c>
      <c r="D12" s="94"/>
      <c r="E12" s="95"/>
      <c r="F12" s="15" t="str">
        <f ca="1">INDIRECT(ADDRESS(35,6))&amp;":"&amp;INDIRECT(ADDRESS(35,7))</f>
        <v>13:5</v>
      </c>
      <c r="G12" s="17" t="str">
        <f ca="1">INDIRECT(ADDRESS(18,7))&amp;":"&amp;INDIRECT(ADDRESS(18,6))</f>
        <v>13:6</v>
      </c>
      <c r="H12" s="17" t="str">
        <f ca="1">INDIRECT(ADDRESS(22,6))&amp;":"&amp;INDIRECT(ADDRESS(22,7))</f>
        <v>13:6</v>
      </c>
      <c r="I12" s="17" t="str">
        <f ca="1">INDIRECT(ADDRESS(27,7))&amp;":"&amp;INDIRECT(ADDRESS(27,6))</f>
        <v>13:12</v>
      </c>
      <c r="J12" s="21" t="s">
        <v>4</v>
      </c>
      <c r="K12" s="112">
        <f ca="1">IF(COUNT(F13:J13)=0,"",COUNTIF(F13:J13,"&gt;0")+0.5*COUNTIF(F13:J13,0))</f>
        <v>4</v>
      </c>
      <c r="L12" s="13"/>
      <c r="M12" s="120">
        <v>1</v>
      </c>
    </row>
    <row r="13" spans="1:13" ht="24" customHeight="1" thickBot="1" x14ac:dyDescent="0.3">
      <c r="A13" s="6"/>
      <c r="B13" s="80"/>
      <c r="C13" s="106"/>
      <c r="D13" s="107"/>
      <c r="E13" s="108"/>
      <c r="F13" s="22">
        <f ca="1">IF(LEN(INDIRECT(ADDRESS(ROW()-1, COLUMN())))=1,"",INDIRECT(ADDRESS(35,6))-INDIRECT(ADDRESS(35,7)))</f>
        <v>8</v>
      </c>
      <c r="G13" s="23">
        <f ca="1">IF(LEN(INDIRECT(ADDRESS(ROW()-1, COLUMN())))=1,"",INDIRECT(ADDRESS(18,7))-INDIRECT(ADDRESS(18,6)))</f>
        <v>7</v>
      </c>
      <c r="H13" s="23">
        <f ca="1">IF(LEN(INDIRECT(ADDRESS(ROW()-1, COLUMN())))=1,"",INDIRECT(ADDRESS(22,6))-INDIRECT(ADDRESS(22,7)))</f>
        <v>7</v>
      </c>
      <c r="I13" s="23">
        <f ca="1">IF(LEN(INDIRECT(ADDRESS(ROW()-1, COLUMN())))=1,"",INDIRECT(ADDRESS(27,7))-INDIRECT(ADDRESS(27,6)))</f>
        <v>1</v>
      </c>
      <c r="J13" s="24" t="s">
        <v>4</v>
      </c>
      <c r="K13" s="117"/>
      <c r="L13" s="23">
        <f ca="1">IF(COUNT(F13:J13)=0,"",SUM(F13:J13))</f>
        <v>23</v>
      </c>
      <c r="M13" s="12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30" customHeight="1" thickBot="1" x14ac:dyDescent="0.3">
      <c r="B17" s="78" t="s">
        <v>5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3" ht="30" customHeight="1" thickBot="1" x14ac:dyDescent="0.3">
      <c r="B18" s="25">
        <v>2</v>
      </c>
      <c r="C18" s="75" t="str">
        <f ca="1">IF(ISBLANK(INDIRECT(ADDRESS(B18*2+2,3))),"",INDIRECT(ADDRESS(B18*2+2,3)))</f>
        <v>Дурынчева</v>
      </c>
      <c r="D18" s="75"/>
      <c r="E18" s="76"/>
      <c r="F18" s="26">
        <v>6</v>
      </c>
      <c r="G18" s="27">
        <v>13</v>
      </c>
      <c r="H18" s="77" t="str">
        <f ca="1">IF(ISBLANK(INDIRECT(ADDRESS(K18*2+2,3))),"",INDIRECT(ADDRESS(K18*2+2,3)))</f>
        <v>Ткаченко</v>
      </c>
      <c r="I18" s="75"/>
      <c r="J18" s="75"/>
      <c r="K18" s="25">
        <v>5</v>
      </c>
      <c r="L18" s="28" t="s">
        <v>6</v>
      </c>
      <c r="M18" s="34"/>
    </row>
    <row r="19" spans="2:13" ht="30" customHeight="1" thickBot="1" x14ac:dyDescent="0.3">
      <c r="B19" s="25">
        <v>3</v>
      </c>
      <c r="C19" s="75" t="str">
        <f ca="1">IF(ISBLANK(INDIRECT(ADDRESS(B19*2+2,3))),"",INDIRECT(ADDRESS(B19*2+2,3)))</f>
        <v>Артюхина</v>
      </c>
      <c r="D19" s="75"/>
      <c r="E19" s="76"/>
      <c r="F19" s="26">
        <v>9</v>
      </c>
      <c r="G19" s="27">
        <v>13</v>
      </c>
      <c r="H19" s="77" t="str">
        <f ca="1">IF(ISBLANK(INDIRECT(ADDRESS(K19*2+2,3))),"",INDIRECT(ADDRESS(K19*2+2,3)))</f>
        <v>Дубовицкая</v>
      </c>
      <c r="I19" s="75"/>
      <c r="J19" s="75"/>
      <c r="K19" s="25">
        <v>4</v>
      </c>
      <c r="L19" s="28" t="s">
        <v>6</v>
      </c>
      <c r="M19" s="34"/>
    </row>
    <row r="20" spans="2:13" ht="30" customHeight="1" x14ac:dyDescent="0.25">
      <c r="M20" s="6"/>
    </row>
    <row r="21" spans="2:13" ht="30" customHeight="1" thickBot="1" x14ac:dyDescent="0.3">
      <c r="B21" s="78" t="s">
        <v>7</v>
      </c>
      <c r="C21" s="78"/>
      <c r="D21" s="78"/>
      <c r="E21" s="78"/>
      <c r="F21" s="78"/>
      <c r="G21" s="78"/>
      <c r="H21" s="78"/>
      <c r="I21" s="78"/>
      <c r="J21" s="78"/>
      <c r="K21" s="78"/>
      <c r="M21" s="6"/>
    </row>
    <row r="22" spans="2:13" ht="30" customHeight="1" thickBot="1" x14ac:dyDescent="0.3">
      <c r="B22" s="25">
        <v>5</v>
      </c>
      <c r="C22" s="75" t="str">
        <f ca="1">IF(ISBLANK(INDIRECT(ADDRESS(B22*2+2,3))),"",INDIRECT(ADDRESS(B22*2+2,3)))</f>
        <v>Ткаченко</v>
      </c>
      <c r="D22" s="75"/>
      <c r="E22" s="76"/>
      <c r="F22" s="26">
        <v>13</v>
      </c>
      <c r="G22" s="27">
        <v>6</v>
      </c>
      <c r="H22" s="77" t="str">
        <f ca="1">IF(ISBLANK(INDIRECT(ADDRESS(K22*2+2,3))),"",INDIRECT(ADDRESS(K22*2+2,3)))</f>
        <v>Артюхина</v>
      </c>
      <c r="I22" s="75"/>
      <c r="J22" s="75"/>
      <c r="K22" s="25">
        <v>3</v>
      </c>
      <c r="L22" s="28" t="s">
        <v>6</v>
      </c>
      <c r="M22" s="34"/>
    </row>
    <row r="23" spans="2:13" ht="30" customHeight="1" thickBot="1" x14ac:dyDescent="0.3">
      <c r="B23" s="25">
        <v>1</v>
      </c>
      <c r="C23" s="75" t="str">
        <f ca="1">IF(ISBLANK(INDIRECT(ADDRESS(B23*2+2,3))),"",INDIRECT(ADDRESS(B23*2+2,3)))</f>
        <v>Корнеевская</v>
      </c>
      <c r="D23" s="75"/>
      <c r="E23" s="76"/>
      <c r="F23" s="26">
        <v>13</v>
      </c>
      <c r="G23" s="27">
        <v>7</v>
      </c>
      <c r="H23" s="77" t="str">
        <f ca="1">IF(ISBLANK(INDIRECT(ADDRESS(K23*2+2,3))),"",INDIRECT(ADDRESS(K23*2+2,3)))</f>
        <v>Дурынчева</v>
      </c>
      <c r="I23" s="75"/>
      <c r="J23" s="75"/>
      <c r="K23" s="25">
        <v>2</v>
      </c>
      <c r="L23" s="28" t="s">
        <v>6</v>
      </c>
      <c r="M23" s="34"/>
    </row>
    <row r="24" spans="2:13" ht="30" customHeight="1" x14ac:dyDescent="0.25">
      <c r="M24" s="6"/>
    </row>
    <row r="25" spans="2:13" ht="30" customHeight="1" thickBot="1" x14ac:dyDescent="0.3">
      <c r="B25" s="78" t="s">
        <v>8</v>
      </c>
      <c r="C25" s="78"/>
      <c r="D25" s="78"/>
      <c r="E25" s="78"/>
      <c r="F25" s="78"/>
      <c r="G25" s="78"/>
      <c r="H25" s="78"/>
      <c r="I25" s="78"/>
      <c r="J25" s="78"/>
      <c r="K25" s="78"/>
      <c r="M25" s="6"/>
    </row>
    <row r="26" spans="2:13" ht="30" customHeight="1" thickBot="1" x14ac:dyDescent="0.3">
      <c r="B26" s="25">
        <v>3</v>
      </c>
      <c r="C26" s="75" t="str">
        <f ca="1">IF(ISBLANK(INDIRECT(ADDRESS(B26*2+2,3))),"",INDIRECT(ADDRESS(B26*2+2,3)))</f>
        <v>Артюхина</v>
      </c>
      <c r="D26" s="75"/>
      <c r="E26" s="76"/>
      <c r="F26" s="26">
        <v>6</v>
      </c>
      <c r="G26" s="27">
        <v>13</v>
      </c>
      <c r="H26" s="77" t="str">
        <f ca="1">IF(ISBLANK(INDIRECT(ADDRESS(K26*2+2,3))),"",INDIRECT(ADDRESS(K26*2+2,3)))</f>
        <v>Корнеевская</v>
      </c>
      <c r="I26" s="75"/>
      <c r="J26" s="75"/>
      <c r="K26" s="25">
        <v>1</v>
      </c>
      <c r="L26" s="28" t="s">
        <v>6</v>
      </c>
      <c r="M26" s="34"/>
    </row>
    <row r="27" spans="2:13" ht="30" customHeight="1" thickBot="1" x14ac:dyDescent="0.3">
      <c r="B27" s="25">
        <v>4</v>
      </c>
      <c r="C27" s="75" t="str">
        <f ca="1">IF(ISBLANK(INDIRECT(ADDRESS(B27*2+2,3))),"",INDIRECT(ADDRESS(B27*2+2,3)))</f>
        <v>Дубовицкая</v>
      </c>
      <c r="D27" s="75"/>
      <c r="E27" s="76"/>
      <c r="F27" s="26">
        <v>12</v>
      </c>
      <c r="G27" s="27">
        <v>13</v>
      </c>
      <c r="H27" s="77" t="str">
        <f ca="1">IF(ISBLANK(INDIRECT(ADDRESS(K27*2+2,3))),"",INDIRECT(ADDRESS(K27*2+2,3)))</f>
        <v>Ткаченко</v>
      </c>
      <c r="I27" s="75"/>
      <c r="J27" s="75"/>
      <c r="K27" s="25">
        <v>5</v>
      </c>
      <c r="L27" s="28" t="s">
        <v>6</v>
      </c>
      <c r="M27" s="34"/>
    </row>
    <row r="28" spans="2:13" ht="30" customHeight="1" x14ac:dyDescent="0.25">
      <c r="M28" s="6"/>
    </row>
    <row r="29" spans="2:13" ht="30" customHeight="1" thickBot="1" x14ac:dyDescent="0.3">
      <c r="B29" s="78" t="s">
        <v>9</v>
      </c>
      <c r="C29" s="78"/>
      <c r="D29" s="78"/>
      <c r="E29" s="78"/>
      <c r="F29" s="78"/>
      <c r="G29" s="78"/>
      <c r="H29" s="78"/>
      <c r="I29" s="78"/>
      <c r="J29" s="78"/>
      <c r="K29" s="78"/>
      <c r="M29" s="6"/>
    </row>
    <row r="30" spans="2:13" ht="30" customHeight="1" thickBot="1" x14ac:dyDescent="0.3">
      <c r="B30" s="25">
        <v>1</v>
      </c>
      <c r="C30" s="75" t="str">
        <f ca="1">IF(ISBLANK(INDIRECT(ADDRESS(B30*2+2,3))),"",INDIRECT(ADDRESS(B30*2+2,3)))</f>
        <v>Корнеевская</v>
      </c>
      <c r="D30" s="75"/>
      <c r="E30" s="76"/>
      <c r="F30" s="26">
        <v>13</v>
      </c>
      <c r="G30" s="27">
        <v>5</v>
      </c>
      <c r="H30" s="77" t="str">
        <f ca="1">IF(ISBLANK(INDIRECT(ADDRESS(K30*2+2,3))),"",INDIRECT(ADDRESS(K30*2+2,3)))</f>
        <v>Дубовицкая</v>
      </c>
      <c r="I30" s="75"/>
      <c r="J30" s="75"/>
      <c r="K30" s="25">
        <v>4</v>
      </c>
      <c r="L30" s="28" t="s">
        <v>6</v>
      </c>
      <c r="M30" s="34"/>
    </row>
    <row r="31" spans="2:13" ht="30" customHeight="1" thickBot="1" x14ac:dyDescent="0.3">
      <c r="B31" s="25">
        <v>2</v>
      </c>
      <c r="C31" s="75" t="str">
        <f ca="1">IF(ISBLANK(INDIRECT(ADDRESS(B31*2+2,3))),"",INDIRECT(ADDRESS(B31*2+2,3)))</f>
        <v>Дурынчева</v>
      </c>
      <c r="D31" s="75"/>
      <c r="E31" s="76"/>
      <c r="F31" s="26">
        <v>11</v>
      </c>
      <c r="G31" s="27">
        <v>13</v>
      </c>
      <c r="H31" s="77" t="str">
        <f ca="1">IF(ISBLANK(INDIRECT(ADDRESS(K31*2+2,3))),"",INDIRECT(ADDRESS(K31*2+2,3)))</f>
        <v>Артюхина</v>
      </c>
      <c r="I31" s="75"/>
      <c r="J31" s="75"/>
      <c r="K31" s="25">
        <v>3</v>
      </c>
      <c r="L31" s="28" t="s">
        <v>6</v>
      </c>
      <c r="M31" s="34"/>
    </row>
    <row r="32" spans="2:13" ht="30" customHeight="1" x14ac:dyDescent="0.25">
      <c r="M32" s="6"/>
    </row>
    <row r="33" spans="2:13" ht="30" customHeight="1" thickBot="1" x14ac:dyDescent="0.3">
      <c r="B33" s="78" t="s">
        <v>10</v>
      </c>
      <c r="C33" s="78"/>
      <c r="D33" s="78"/>
      <c r="E33" s="78"/>
      <c r="F33" s="78"/>
      <c r="G33" s="78"/>
      <c r="H33" s="78"/>
      <c r="I33" s="78"/>
      <c r="J33" s="78"/>
      <c r="K33" s="78"/>
      <c r="M33" s="6"/>
    </row>
    <row r="34" spans="2:13" ht="30" customHeight="1" thickBot="1" x14ac:dyDescent="0.3">
      <c r="B34" s="25">
        <v>4</v>
      </c>
      <c r="C34" s="75" t="str">
        <f ca="1">IF(ISBLANK(INDIRECT(ADDRESS(B34*2+2,3))),"",INDIRECT(ADDRESS(B34*2+2,3)))</f>
        <v>Дубовицкая</v>
      </c>
      <c r="D34" s="75"/>
      <c r="E34" s="76"/>
      <c r="F34" s="26">
        <v>13</v>
      </c>
      <c r="G34" s="27">
        <v>11</v>
      </c>
      <c r="H34" s="77" t="str">
        <f ca="1">IF(ISBLANK(INDIRECT(ADDRESS(K34*2+2,3))),"",INDIRECT(ADDRESS(K34*2+2,3)))</f>
        <v>Дурынчева</v>
      </c>
      <c r="I34" s="75"/>
      <c r="J34" s="75"/>
      <c r="K34" s="25">
        <v>2</v>
      </c>
      <c r="L34" s="28" t="s">
        <v>6</v>
      </c>
      <c r="M34" s="34"/>
    </row>
    <row r="35" spans="2:13" ht="30" customHeight="1" thickBot="1" x14ac:dyDescent="0.3">
      <c r="B35" s="25">
        <v>5</v>
      </c>
      <c r="C35" s="75" t="str">
        <f ca="1">IF(ISBLANK(INDIRECT(ADDRESS(B35*2+2,3))),"",INDIRECT(ADDRESS(B35*2+2,3)))</f>
        <v>Ткаченко</v>
      </c>
      <c r="D35" s="75"/>
      <c r="E35" s="76"/>
      <c r="F35" s="26">
        <v>13</v>
      </c>
      <c r="G35" s="27">
        <v>5</v>
      </c>
      <c r="H35" s="77" t="str">
        <f ca="1">IF(ISBLANK(INDIRECT(ADDRESS(K35*2+2,3))),"",INDIRECT(ADDRESS(K35*2+2,3)))</f>
        <v>Корнеевская</v>
      </c>
      <c r="I35" s="75"/>
      <c r="J35" s="75"/>
      <c r="K35" s="25">
        <v>1</v>
      </c>
      <c r="L35" s="28" t="s">
        <v>6</v>
      </c>
      <c r="M35" s="34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16" sqref="M16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59.25" customHeight="1" x14ac:dyDescent="0.4">
      <c r="B1" s="97" t="s">
        <v>219</v>
      </c>
      <c r="C1" s="97"/>
      <c r="D1" s="97"/>
      <c r="E1" s="97"/>
      <c r="F1" s="97"/>
      <c r="G1" s="97"/>
      <c r="H1" s="97"/>
      <c r="I1" s="97"/>
      <c r="J1" s="97"/>
      <c r="K1" s="97"/>
      <c r="L1" s="69" t="s">
        <v>218</v>
      </c>
      <c r="M1"/>
    </row>
    <row r="2" spans="1:13" ht="15.75" thickBot="1" x14ac:dyDescent="0.3">
      <c r="M2"/>
    </row>
    <row r="3" spans="1:13" ht="30" customHeight="1" thickBot="1" x14ac:dyDescent="0.3">
      <c r="A3" s="6"/>
      <c r="B3" s="62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62" t="s">
        <v>1</v>
      </c>
      <c r="L3" s="2" t="s">
        <v>2</v>
      </c>
      <c r="M3" s="32" t="s">
        <v>3</v>
      </c>
    </row>
    <row r="4" spans="1:13" ht="24" customHeight="1" x14ac:dyDescent="0.25">
      <c r="A4" s="6"/>
      <c r="B4" s="101">
        <v>1</v>
      </c>
      <c r="C4" s="109" t="s">
        <v>247</v>
      </c>
      <c r="D4" s="110"/>
      <c r="E4" s="111"/>
      <c r="F4" s="8" t="s">
        <v>4</v>
      </c>
      <c r="G4" s="9" t="str">
        <f ca="1">INDIRECT(ADDRESS(23,6))&amp;":"&amp;INDIRECT(ADDRESS(23,7))</f>
        <v>13:3</v>
      </c>
      <c r="H4" s="9" t="str">
        <f ca="1">INDIRECT(ADDRESS(26,7))&amp;":"&amp;INDIRECT(ADDRESS(26,6))</f>
        <v>8:13</v>
      </c>
      <c r="I4" s="9" t="str">
        <f ca="1">INDIRECT(ADDRESS(30,6))&amp;":"&amp;INDIRECT(ADDRESS(30,7))</f>
        <v>11:13</v>
      </c>
      <c r="J4" s="10" t="str">
        <f ca="1">INDIRECT(ADDRESS(35,7))&amp;":"&amp;INDIRECT(ADDRESS(35,6))</f>
        <v>13:10</v>
      </c>
      <c r="K4" s="123">
        <f ca="1">IF(COUNT(F5:J5)=0,"",COUNTIF(F5:J5,"&gt;0")+0.5*COUNTIF(F5:J5,0))</f>
        <v>2</v>
      </c>
      <c r="L4" s="11"/>
      <c r="M4" s="122">
        <v>3</v>
      </c>
    </row>
    <row r="5" spans="1:13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COLUMN())))=1,"",INDIRECT(ADDRESS(23,6))-INDIRECT(ADDRESS(23,7)))</f>
        <v>10</v>
      </c>
      <c r="H5" s="13">
        <f ca="1">IF(LEN(INDIRECT(ADDRESS(ROW()-1, COLUMN())))=1,"",INDIRECT(ADDRESS(26,7))-INDIRECT(ADDRESS(26,6)))</f>
        <v>-5</v>
      </c>
      <c r="I5" s="13">
        <f ca="1">IF(LEN(INDIRECT(ADDRESS(ROW()-1, COLUMN())))=1,"",INDIRECT(ADDRESS(30,6))-INDIRECT(ADDRESS(30,7)))</f>
        <v>-2</v>
      </c>
      <c r="J5" s="14">
        <f ca="1">IF(LEN(INDIRECT(ADDRESS(ROW()-1, COLUMN())))=1,"",INDIRECT(ADDRESS(35,7))-INDIRECT(ADDRESS(35,6)))</f>
        <v>3</v>
      </c>
      <c r="K5" s="112"/>
      <c r="L5" s="13">
        <f ca="1">IF(COUNT(F5:J5)=0,"",SUM(F5:J5))</f>
        <v>6</v>
      </c>
      <c r="M5" s="120"/>
    </row>
    <row r="6" spans="1:13" ht="24" customHeight="1" x14ac:dyDescent="0.25">
      <c r="A6" s="6"/>
      <c r="B6" s="79">
        <v>2</v>
      </c>
      <c r="C6" s="81" t="s">
        <v>248</v>
      </c>
      <c r="D6" s="82"/>
      <c r="E6" s="83"/>
      <c r="F6" s="15" t="str">
        <f ca="1">INDIRECT(ADDRESS(23,7))&amp;":"&amp;INDIRECT(ADDRESS(23,6))</f>
        <v>3:13</v>
      </c>
      <c r="G6" s="16" t="s">
        <v>4</v>
      </c>
      <c r="H6" s="17" t="str">
        <f ca="1">INDIRECT(ADDRESS(31,6))&amp;":"&amp;INDIRECT(ADDRESS(31,7))</f>
        <v>3:13</v>
      </c>
      <c r="I6" s="17" t="str">
        <f ca="1">INDIRECT(ADDRESS(34,7))&amp;":"&amp;INDIRECT(ADDRESS(34,6))</f>
        <v>3:13</v>
      </c>
      <c r="J6" s="18" t="str">
        <f ca="1">INDIRECT(ADDRESS(18,6))&amp;":"&amp;INDIRECT(ADDRESS(18,7))</f>
        <v>1:13</v>
      </c>
      <c r="K6" s="112">
        <f ca="1">IF(COUNT(F7:J7)=0,"",COUNTIF(F7:J7,"&gt;0")+0.5*COUNTIF(F7:J7,0))</f>
        <v>0</v>
      </c>
      <c r="L6" s="13"/>
      <c r="M6" s="120">
        <v>5</v>
      </c>
    </row>
    <row r="7" spans="1:13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COLUMN())))=1,"",INDIRECT(ADDRESS(23,7))-INDIRECT(ADDRESS(23,6)))</f>
        <v>-10</v>
      </c>
      <c r="G7" s="20" t="s">
        <v>4</v>
      </c>
      <c r="H7" s="13">
        <f ca="1">IF(LEN(INDIRECT(ADDRESS(ROW()-1, COLUMN())))=1,"",INDIRECT(ADDRESS(31,6))-INDIRECT(ADDRESS(31,7)))</f>
        <v>-10</v>
      </c>
      <c r="I7" s="13">
        <f ca="1">IF(LEN(INDIRECT(ADDRESS(ROW()-1, COLUMN())))=1,"",INDIRECT(ADDRESS(34,7))-INDIRECT(ADDRESS(34,6)))</f>
        <v>-10</v>
      </c>
      <c r="J7" s="14">
        <f ca="1">IF(LEN(INDIRECT(ADDRESS(ROW()-1, COLUMN())))=1,"",INDIRECT(ADDRESS(18,6))-INDIRECT(ADDRESS(18,7)))</f>
        <v>-12</v>
      </c>
      <c r="K7" s="112"/>
      <c r="L7" s="13">
        <f ca="1">IF(COUNT(F7:J7)=0,"",SUM(F7:J7))</f>
        <v>-42</v>
      </c>
      <c r="M7" s="120"/>
    </row>
    <row r="8" spans="1:13" ht="24" customHeight="1" x14ac:dyDescent="0.25">
      <c r="A8" s="6"/>
      <c r="B8" s="79">
        <v>3</v>
      </c>
      <c r="C8" s="93" t="s">
        <v>249</v>
      </c>
      <c r="D8" s="94"/>
      <c r="E8" s="95"/>
      <c r="F8" s="15" t="str">
        <f ca="1">INDIRECT(ADDRESS(26,6))&amp;":"&amp;INDIRECT(ADDRESS(26,7))</f>
        <v>13:8</v>
      </c>
      <c r="G8" s="17" t="str">
        <f ca="1">INDIRECT(ADDRESS(31,7))&amp;":"&amp;INDIRECT(ADDRESS(31,6))</f>
        <v>13:3</v>
      </c>
      <c r="H8" s="16" t="s">
        <v>4</v>
      </c>
      <c r="I8" s="17" t="str">
        <f ca="1">INDIRECT(ADDRESS(19,6))&amp;":"&amp;INDIRECT(ADDRESS(19,7))</f>
        <v>3:13</v>
      </c>
      <c r="J8" s="18" t="str">
        <f ca="1">INDIRECT(ADDRESS(22,7))&amp;":"&amp;INDIRECT(ADDRESS(22,6))</f>
        <v>10:9</v>
      </c>
      <c r="K8" s="112">
        <f ca="1">IF(COUNT(F9:J9)=0,"",COUNTIF(F9:J9,"&gt;0")+0.5*COUNTIF(F9:J9,0))</f>
        <v>3</v>
      </c>
      <c r="L8" s="13"/>
      <c r="M8" s="120">
        <v>2</v>
      </c>
    </row>
    <row r="9" spans="1:13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COLUMN())))=1,"",INDIRECT(ADDRESS(26,6))-INDIRECT(ADDRESS(26,7)))</f>
        <v>5</v>
      </c>
      <c r="G9" s="13">
        <f ca="1">IF(LEN(INDIRECT(ADDRESS(ROW()-1, COLUMN())))=1,"",INDIRECT(ADDRESS(31,7))-INDIRECT(ADDRESS(31,6)))</f>
        <v>10</v>
      </c>
      <c r="H9" s="20" t="s">
        <v>4</v>
      </c>
      <c r="I9" s="13">
        <f ca="1">IF(LEN(INDIRECT(ADDRESS(ROW()-1, COLUMN())))=1,"",INDIRECT(ADDRESS(19,6))-INDIRECT(ADDRESS(19,7)))</f>
        <v>-10</v>
      </c>
      <c r="J9" s="14">
        <f ca="1">IF(LEN(INDIRECT(ADDRESS(ROW()-1, COLUMN())))=1,"",INDIRECT(ADDRESS(22,7))-INDIRECT(ADDRESS(22,6)))</f>
        <v>1</v>
      </c>
      <c r="K9" s="112"/>
      <c r="L9" s="13">
        <f ca="1">IF(COUNT(F9:J9)=0,"",SUM(F9:J9))</f>
        <v>6</v>
      </c>
      <c r="M9" s="120"/>
    </row>
    <row r="10" spans="1:13" ht="24" customHeight="1" x14ac:dyDescent="0.25">
      <c r="A10" s="6"/>
      <c r="B10" s="79">
        <v>4</v>
      </c>
      <c r="C10" s="93" t="s">
        <v>250</v>
      </c>
      <c r="D10" s="94"/>
      <c r="E10" s="95"/>
      <c r="F10" s="15" t="str">
        <f ca="1">INDIRECT(ADDRESS(30,7))&amp;":"&amp;INDIRECT(ADDRESS(30,6))</f>
        <v>13:11</v>
      </c>
      <c r="G10" s="17" t="str">
        <f ca="1">INDIRECT(ADDRESS(34,6))&amp;":"&amp;INDIRECT(ADDRESS(34,7))</f>
        <v>13:3</v>
      </c>
      <c r="H10" s="17" t="str">
        <f ca="1">INDIRECT(ADDRESS(19,7))&amp;":"&amp;INDIRECT(ADDRESS(19,6))</f>
        <v>13:3</v>
      </c>
      <c r="I10" s="16" t="s">
        <v>4</v>
      </c>
      <c r="J10" s="18" t="str">
        <f ca="1">INDIRECT(ADDRESS(27,6))&amp;":"&amp;INDIRECT(ADDRESS(27,7))</f>
        <v>13:6</v>
      </c>
      <c r="K10" s="112">
        <f ca="1">IF(COUNT(F11:J11)=0,"",COUNTIF(F11:J11,"&gt;0")+0.5*COUNTIF(F11:J11,0))</f>
        <v>4</v>
      </c>
      <c r="L10" s="13"/>
      <c r="M10" s="120">
        <v>1</v>
      </c>
    </row>
    <row r="11" spans="1:13" ht="24" customHeight="1" x14ac:dyDescent="0.25">
      <c r="A11" s="6"/>
      <c r="B11" s="91"/>
      <c r="C11" s="93"/>
      <c r="D11" s="94"/>
      <c r="E11" s="95"/>
      <c r="F11" s="19">
        <f ca="1">IF(LEN(INDIRECT(ADDRESS(ROW()-1, COLUMN())))=1,"",INDIRECT(ADDRESS(30,7))-INDIRECT(ADDRESS(30,6)))</f>
        <v>2</v>
      </c>
      <c r="G11" s="13">
        <f ca="1">IF(LEN(INDIRECT(ADDRESS(ROW()-1, COLUMN())))=1,"",INDIRECT(ADDRESS(34,6))-INDIRECT(ADDRESS(34,7)))</f>
        <v>10</v>
      </c>
      <c r="H11" s="13">
        <f ca="1">IF(LEN(INDIRECT(ADDRESS(ROW()-1, COLUMN())))=1,"",INDIRECT(ADDRESS(19,7))-INDIRECT(ADDRESS(19,6)))</f>
        <v>10</v>
      </c>
      <c r="I11" s="20" t="s">
        <v>4</v>
      </c>
      <c r="J11" s="14">
        <f ca="1">IF(LEN(INDIRECT(ADDRESS(ROW()-1, COLUMN())))=1,"",INDIRECT(ADDRESS(27,6))-INDIRECT(ADDRESS(27,7)))</f>
        <v>7</v>
      </c>
      <c r="K11" s="112"/>
      <c r="L11" s="13">
        <f ca="1">IF(COUNT(F11:J11)=0,"",SUM(F11:J11))</f>
        <v>29</v>
      </c>
      <c r="M11" s="120"/>
    </row>
    <row r="12" spans="1:13" ht="24" customHeight="1" x14ac:dyDescent="0.25">
      <c r="A12" s="6"/>
      <c r="B12" s="79">
        <v>5</v>
      </c>
      <c r="C12" s="93" t="s">
        <v>251</v>
      </c>
      <c r="D12" s="94"/>
      <c r="E12" s="95"/>
      <c r="F12" s="15" t="str">
        <f ca="1">INDIRECT(ADDRESS(35,6))&amp;":"&amp;INDIRECT(ADDRESS(35,7))</f>
        <v>10:13</v>
      </c>
      <c r="G12" s="17" t="str">
        <f ca="1">INDIRECT(ADDRESS(18,7))&amp;":"&amp;INDIRECT(ADDRESS(18,6))</f>
        <v>13:1</v>
      </c>
      <c r="H12" s="17" t="str">
        <f ca="1">INDIRECT(ADDRESS(22,6))&amp;":"&amp;INDIRECT(ADDRESS(22,7))</f>
        <v>9:10</v>
      </c>
      <c r="I12" s="17" t="str">
        <f ca="1">INDIRECT(ADDRESS(27,7))&amp;":"&amp;INDIRECT(ADDRESS(27,6))</f>
        <v>6:13</v>
      </c>
      <c r="J12" s="21" t="s">
        <v>4</v>
      </c>
      <c r="K12" s="112">
        <f ca="1">IF(COUNT(F13:J13)=0,"",COUNTIF(F13:J13,"&gt;0")+0.5*COUNTIF(F13:J13,0))</f>
        <v>1</v>
      </c>
      <c r="L12" s="13"/>
      <c r="M12" s="120">
        <v>4</v>
      </c>
    </row>
    <row r="13" spans="1:13" ht="24" customHeight="1" thickBot="1" x14ac:dyDescent="0.3">
      <c r="A13" s="6"/>
      <c r="B13" s="80"/>
      <c r="C13" s="106"/>
      <c r="D13" s="107"/>
      <c r="E13" s="108"/>
      <c r="F13" s="22">
        <f ca="1">IF(LEN(INDIRECT(ADDRESS(ROW()-1, COLUMN())))=1,"",INDIRECT(ADDRESS(35,6))-INDIRECT(ADDRESS(35,7)))</f>
        <v>-3</v>
      </c>
      <c r="G13" s="23">
        <f ca="1">IF(LEN(INDIRECT(ADDRESS(ROW()-1, COLUMN())))=1,"",INDIRECT(ADDRESS(18,7))-INDIRECT(ADDRESS(18,6)))</f>
        <v>12</v>
      </c>
      <c r="H13" s="23">
        <f ca="1">IF(LEN(INDIRECT(ADDRESS(ROW()-1, COLUMN())))=1,"",INDIRECT(ADDRESS(22,6))-INDIRECT(ADDRESS(22,7)))</f>
        <v>-1</v>
      </c>
      <c r="I13" s="23">
        <f ca="1">IF(LEN(INDIRECT(ADDRESS(ROW()-1, COLUMN())))=1,"",INDIRECT(ADDRESS(27,7))-INDIRECT(ADDRESS(27,6)))</f>
        <v>-7</v>
      </c>
      <c r="J13" s="24" t="s">
        <v>4</v>
      </c>
      <c r="K13" s="117"/>
      <c r="L13" s="23">
        <f ca="1">IF(COUNT(F13:J13)=0,"",SUM(F13:J13))</f>
        <v>1</v>
      </c>
      <c r="M13" s="121"/>
    </row>
    <row r="14" spans="1:13" x14ac:dyDescent="0.25">
      <c r="M14"/>
    </row>
    <row r="15" spans="1:13" x14ac:dyDescent="0.25">
      <c r="M15"/>
    </row>
    <row r="16" spans="1:13" x14ac:dyDescent="0.25">
      <c r="M16"/>
    </row>
    <row r="17" spans="2:13" ht="30" customHeight="1" thickBot="1" x14ac:dyDescent="0.3">
      <c r="B17" s="78" t="s">
        <v>5</v>
      </c>
      <c r="C17" s="78"/>
      <c r="D17" s="78"/>
      <c r="E17" s="78"/>
      <c r="F17" s="78"/>
      <c r="G17" s="78"/>
      <c r="H17" s="78"/>
      <c r="I17" s="78"/>
      <c r="J17" s="78"/>
      <c r="K17" s="78"/>
    </row>
    <row r="18" spans="2:13" ht="30" customHeight="1" thickBot="1" x14ac:dyDescent="0.3">
      <c r="B18" s="25">
        <v>2</v>
      </c>
      <c r="C18" s="75" t="str">
        <f ca="1">IF(ISBLANK(INDIRECT(ADDRESS(B18*2+2,3))),"",INDIRECT(ADDRESS(B18*2+2,3)))</f>
        <v>Туртурика</v>
      </c>
      <c r="D18" s="75"/>
      <c r="E18" s="76"/>
      <c r="F18" s="26">
        <v>1</v>
      </c>
      <c r="G18" s="27">
        <v>13</v>
      </c>
      <c r="H18" s="77" t="str">
        <f ca="1">IF(ISBLANK(INDIRECT(ADDRESS(K18*2+2,3))),"",INDIRECT(ADDRESS(K18*2+2,3)))</f>
        <v>Тюрина</v>
      </c>
      <c r="I18" s="75"/>
      <c r="J18" s="75"/>
      <c r="K18" s="25">
        <v>5</v>
      </c>
      <c r="L18" s="28" t="s">
        <v>6</v>
      </c>
      <c r="M18" s="34"/>
    </row>
    <row r="19" spans="2:13" ht="30" customHeight="1" thickBot="1" x14ac:dyDescent="0.3">
      <c r="B19" s="25">
        <v>3</v>
      </c>
      <c r="C19" s="75" t="str">
        <f ca="1">IF(ISBLANK(INDIRECT(ADDRESS(B19*2+2,3))),"",INDIRECT(ADDRESS(B19*2+2,3)))</f>
        <v>Комарова</v>
      </c>
      <c r="D19" s="75"/>
      <c r="E19" s="76"/>
      <c r="F19" s="26">
        <v>3</v>
      </c>
      <c r="G19" s="27">
        <v>13</v>
      </c>
      <c r="H19" s="77" t="str">
        <f ca="1">IF(ISBLANK(INDIRECT(ADDRESS(K19*2+2,3))),"",INDIRECT(ADDRESS(K19*2+2,3)))</f>
        <v>Санникова</v>
      </c>
      <c r="I19" s="75"/>
      <c r="J19" s="75"/>
      <c r="K19" s="25">
        <v>4</v>
      </c>
      <c r="L19" s="28" t="s">
        <v>6</v>
      </c>
      <c r="M19" s="34"/>
    </row>
    <row r="20" spans="2:13" ht="30" customHeight="1" x14ac:dyDescent="0.25">
      <c r="M20" s="6"/>
    </row>
    <row r="21" spans="2:13" ht="30" customHeight="1" thickBot="1" x14ac:dyDescent="0.3">
      <c r="B21" s="78" t="s">
        <v>7</v>
      </c>
      <c r="C21" s="78"/>
      <c r="D21" s="78"/>
      <c r="E21" s="78"/>
      <c r="F21" s="78"/>
      <c r="G21" s="78"/>
      <c r="H21" s="78"/>
      <c r="I21" s="78"/>
      <c r="J21" s="78"/>
      <c r="K21" s="78"/>
      <c r="M21" s="6"/>
    </row>
    <row r="22" spans="2:13" ht="30" customHeight="1" thickBot="1" x14ac:dyDescent="0.3">
      <c r="B22" s="25">
        <v>5</v>
      </c>
      <c r="C22" s="75" t="str">
        <f ca="1">IF(ISBLANK(INDIRECT(ADDRESS(B22*2+2,3))),"",INDIRECT(ADDRESS(B22*2+2,3)))</f>
        <v>Тюрина</v>
      </c>
      <c r="D22" s="75"/>
      <c r="E22" s="76"/>
      <c r="F22" s="26">
        <v>9</v>
      </c>
      <c r="G22" s="27">
        <v>10</v>
      </c>
      <c r="H22" s="77" t="str">
        <f ca="1">IF(ISBLANK(INDIRECT(ADDRESS(K22*2+2,3))),"",INDIRECT(ADDRESS(K22*2+2,3)))</f>
        <v>Комарова</v>
      </c>
      <c r="I22" s="75"/>
      <c r="J22" s="75"/>
      <c r="K22" s="25">
        <v>3</v>
      </c>
      <c r="L22" s="28" t="s">
        <v>6</v>
      </c>
      <c r="M22" s="34"/>
    </row>
    <row r="23" spans="2:13" ht="30" customHeight="1" thickBot="1" x14ac:dyDescent="0.3">
      <c r="B23" s="25">
        <v>1</v>
      </c>
      <c r="C23" s="75" t="str">
        <f ca="1">IF(ISBLANK(INDIRECT(ADDRESS(B23*2+2,3))),"",INDIRECT(ADDRESS(B23*2+2,3)))</f>
        <v>Бублик</v>
      </c>
      <c r="D23" s="75"/>
      <c r="E23" s="76"/>
      <c r="F23" s="26">
        <v>13</v>
      </c>
      <c r="G23" s="27">
        <v>3</v>
      </c>
      <c r="H23" s="77" t="str">
        <f ca="1">IF(ISBLANK(INDIRECT(ADDRESS(K23*2+2,3))),"",INDIRECT(ADDRESS(K23*2+2,3)))</f>
        <v>Туртурика</v>
      </c>
      <c r="I23" s="75"/>
      <c r="J23" s="75"/>
      <c r="K23" s="25">
        <v>2</v>
      </c>
      <c r="L23" s="28" t="s">
        <v>6</v>
      </c>
      <c r="M23" s="34"/>
    </row>
    <row r="24" spans="2:13" ht="30" customHeight="1" x14ac:dyDescent="0.25">
      <c r="M24" s="6"/>
    </row>
    <row r="25" spans="2:13" ht="30" customHeight="1" thickBot="1" x14ac:dyDescent="0.3">
      <c r="B25" s="78" t="s">
        <v>8</v>
      </c>
      <c r="C25" s="78"/>
      <c r="D25" s="78"/>
      <c r="E25" s="78"/>
      <c r="F25" s="78"/>
      <c r="G25" s="78"/>
      <c r="H25" s="78"/>
      <c r="I25" s="78"/>
      <c r="J25" s="78"/>
      <c r="K25" s="78"/>
      <c r="M25" s="6"/>
    </row>
    <row r="26" spans="2:13" ht="30" customHeight="1" thickBot="1" x14ac:dyDescent="0.3">
      <c r="B26" s="25">
        <v>3</v>
      </c>
      <c r="C26" s="75" t="str">
        <f ca="1">IF(ISBLANK(INDIRECT(ADDRESS(B26*2+2,3))),"",INDIRECT(ADDRESS(B26*2+2,3)))</f>
        <v>Комарова</v>
      </c>
      <c r="D26" s="75"/>
      <c r="E26" s="76"/>
      <c r="F26" s="26">
        <v>13</v>
      </c>
      <c r="G26" s="27">
        <v>8</v>
      </c>
      <c r="H26" s="77" t="str">
        <f ca="1">IF(ISBLANK(INDIRECT(ADDRESS(K26*2+2,3))),"",INDIRECT(ADDRESS(K26*2+2,3)))</f>
        <v>Бублик</v>
      </c>
      <c r="I26" s="75"/>
      <c r="J26" s="75"/>
      <c r="K26" s="25">
        <v>1</v>
      </c>
      <c r="L26" s="28" t="s">
        <v>6</v>
      </c>
      <c r="M26" s="34"/>
    </row>
    <row r="27" spans="2:13" ht="30" customHeight="1" thickBot="1" x14ac:dyDescent="0.3">
      <c r="B27" s="25">
        <v>4</v>
      </c>
      <c r="C27" s="75" t="str">
        <f ca="1">IF(ISBLANK(INDIRECT(ADDRESS(B27*2+2,3))),"",INDIRECT(ADDRESS(B27*2+2,3)))</f>
        <v>Санникова</v>
      </c>
      <c r="D27" s="75"/>
      <c r="E27" s="76"/>
      <c r="F27" s="26">
        <v>13</v>
      </c>
      <c r="G27" s="27">
        <v>6</v>
      </c>
      <c r="H27" s="77" t="str">
        <f ca="1">IF(ISBLANK(INDIRECT(ADDRESS(K27*2+2,3))),"",INDIRECT(ADDRESS(K27*2+2,3)))</f>
        <v>Тюрина</v>
      </c>
      <c r="I27" s="75"/>
      <c r="J27" s="75"/>
      <c r="K27" s="25">
        <v>5</v>
      </c>
      <c r="L27" s="28" t="s">
        <v>6</v>
      </c>
      <c r="M27" s="34"/>
    </row>
    <row r="28" spans="2:13" ht="30" customHeight="1" x14ac:dyDescent="0.25">
      <c r="M28" s="6"/>
    </row>
    <row r="29" spans="2:13" ht="30" customHeight="1" thickBot="1" x14ac:dyDescent="0.3">
      <c r="B29" s="78" t="s">
        <v>9</v>
      </c>
      <c r="C29" s="78"/>
      <c r="D29" s="78"/>
      <c r="E29" s="78"/>
      <c r="F29" s="78"/>
      <c r="G29" s="78"/>
      <c r="H29" s="78"/>
      <c r="I29" s="78"/>
      <c r="J29" s="78"/>
      <c r="K29" s="78"/>
      <c r="M29" s="6"/>
    </row>
    <row r="30" spans="2:13" ht="30" customHeight="1" thickBot="1" x14ac:dyDescent="0.3">
      <c r="B30" s="25">
        <v>1</v>
      </c>
      <c r="C30" s="75" t="str">
        <f ca="1">IF(ISBLANK(INDIRECT(ADDRESS(B30*2+2,3))),"",INDIRECT(ADDRESS(B30*2+2,3)))</f>
        <v>Бублик</v>
      </c>
      <c r="D30" s="75"/>
      <c r="E30" s="76"/>
      <c r="F30" s="26">
        <v>11</v>
      </c>
      <c r="G30" s="27">
        <v>13</v>
      </c>
      <c r="H30" s="77" t="str">
        <f ca="1">IF(ISBLANK(INDIRECT(ADDRESS(K30*2+2,3))),"",INDIRECT(ADDRESS(K30*2+2,3)))</f>
        <v>Санникова</v>
      </c>
      <c r="I30" s="75"/>
      <c r="J30" s="75"/>
      <c r="K30" s="25">
        <v>4</v>
      </c>
      <c r="L30" s="28" t="s">
        <v>6</v>
      </c>
      <c r="M30" s="34"/>
    </row>
    <row r="31" spans="2:13" ht="30" customHeight="1" thickBot="1" x14ac:dyDescent="0.3">
      <c r="B31" s="25">
        <v>2</v>
      </c>
      <c r="C31" s="75" t="str">
        <f ca="1">IF(ISBLANK(INDIRECT(ADDRESS(B31*2+2,3))),"",INDIRECT(ADDRESS(B31*2+2,3)))</f>
        <v>Туртурика</v>
      </c>
      <c r="D31" s="75"/>
      <c r="E31" s="76"/>
      <c r="F31" s="26">
        <v>3</v>
      </c>
      <c r="G31" s="27">
        <v>13</v>
      </c>
      <c r="H31" s="77" t="str">
        <f ca="1">IF(ISBLANK(INDIRECT(ADDRESS(K31*2+2,3))),"",INDIRECT(ADDRESS(K31*2+2,3)))</f>
        <v>Комарова</v>
      </c>
      <c r="I31" s="75"/>
      <c r="J31" s="75"/>
      <c r="K31" s="25">
        <v>3</v>
      </c>
      <c r="L31" s="28" t="s">
        <v>6</v>
      </c>
      <c r="M31" s="34"/>
    </row>
    <row r="32" spans="2:13" ht="30" customHeight="1" x14ac:dyDescent="0.25">
      <c r="M32" s="6"/>
    </row>
    <row r="33" spans="2:13" ht="30" customHeight="1" thickBot="1" x14ac:dyDescent="0.3">
      <c r="B33" s="78" t="s">
        <v>10</v>
      </c>
      <c r="C33" s="78"/>
      <c r="D33" s="78"/>
      <c r="E33" s="78"/>
      <c r="F33" s="78"/>
      <c r="G33" s="78"/>
      <c r="H33" s="78"/>
      <c r="I33" s="78"/>
      <c r="J33" s="78"/>
      <c r="K33" s="78"/>
      <c r="M33" s="6"/>
    </row>
    <row r="34" spans="2:13" ht="30" customHeight="1" thickBot="1" x14ac:dyDescent="0.3">
      <c r="B34" s="25">
        <v>4</v>
      </c>
      <c r="C34" s="75" t="str">
        <f ca="1">IF(ISBLANK(INDIRECT(ADDRESS(B34*2+2,3))),"",INDIRECT(ADDRESS(B34*2+2,3)))</f>
        <v>Санникова</v>
      </c>
      <c r="D34" s="75"/>
      <c r="E34" s="76"/>
      <c r="F34" s="26">
        <v>13</v>
      </c>
      <c r="G34" s="27">
        <v>3</v>
      </c>
      <c r="H34" s="77" t="str">
        <f ca="1">IF(ISBLANK(INDIRECT(ADDRESS(K34*2+2,3))),"",INDIRECT(ADDRESS(K34*2+2,3)))</f>
        <v>Туртурика</v>
      </c>
      <c r="I34" s="75"/>
      <c r="J34" s="75"/>
      <c r="K34" s="25">
        <v>2</v>
      </c>
      <c r="L34" s="28" t="s">
        <v>6</v>
      </c>
      <c r="M34" s="34"/>
    </row>
    <row r="35" spans="2:13" ht="30" customHeight="1" thickBot="1" x14ac:dyDescent="0.3">
      <c r="B35" s="25">
        <v>5</v>
      </c>
      <c r="C35" s="75" t="str">
        <f ca="1">IF(ISBLANK(INDIRECT(ADDRESS(B35*2+2,3))),"",INDIRECT(ADDRESS(B35*2+2,3)))</f>
        <v>Тюрина</v>
      </c>
      <c r="D35" s="75"/>
      <c r="E35" s="76"/>
      <c r="F35" s="26">
        <v>10</v>
      </c>
      <c r="G35" s="27">
        <v>13</v>
      </c>
      <c r="H35" s="77" t="str">
        <f ca="1">IF(ISBLANK(INDIRECT(ADDRESS(K35*2+2,3))),"",INDIRECT(ADDRESS(K35*2+2,3)))</f>
        <v>Бублик</v>
      </c>
      <c r="I35" s="75"/>
      <c r="J35" s="75"/>
      <c r="K35" s="25">
        <v>1</v>
      </c>
      <c r="L35" s="28" t="s">
        <v>6</v>
      </c>
      <c r="M35" s="34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4" workbookViewId="0">
      <selection activeCell="K20" sqref="K20"/>
    </sheetView>
  </sheetViews>
  <sheetFormatPr defaultRowHeight="15" x14ac:dyDescent="0.25"/>
  <cols>
    <col min="1" max="1" width="9.140625" style="34"/>
    <col min="2" max="15" width="9.140625" style="29" customWidth="1"/>
    <col min="16" max="16384" width="9.140625" style="29"/>
  </cols>
  <sheetData>
    <row r="1" spans="1:13" ht="59.25" customHeight="1" x14ac:dyDescent="0.4">
      <c r="B1" s="97" t="s">
        <v>220</v>
      </c>
      <c r="C1" s="97"/>
      <c r="D1" s="97"/>
      <c r="E1" s="97"/>
      <c r="F1" s="97"/>
      <c r="G1" s="97"/>
      <c r="H1" s="97"/>
      <c r="I1" s="97"/>
      <c r="J1" s="97"/>
      <c r="K1" s="97"/>
      <c r="L1" s="69" t="s">
        <v>214</v>
      </c>
    </row>
    <row r="2" spans="1:13" ht="15" customHeight="1" x14ac:dyDescent="0.25">
      <c r="C2" s="70"/>
    </row>
    <row r="3" spans="1:13" ht="15" customHeight="1" x14ac:dyDescent="0.25">
      <c r="C3" s="70"/>
    </row>
    <row r="4" spans="1:13" ht="15" customHeight="1" x14ac:dyDescent="0.25">
      <c r="A4" s="34" t="s">
        <v>223</v>
      </c>
      <c r="B4" s="124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Судник</v>
      </c>
      <c r="C4" s="125"/>
      <c r="D4" s="55">
        <v>13</v>
      </c>
      <c r="E4" s="71"/>
    </row>
    <row r="5" spans="1:13" ht="15" customHeight="1" x14ac:dyDescent="0.25">
      <c r="A5" s="34">
        <v>1</v>
      </c>
      <c r="C5" s="70"/>
      <c r="E5" s="72"/>
    </row>
    <row r="6" spans="1:13" ht="15" customHeight="1" x14ac:dyDescent="0.25">
      <c r="B6" s="28" t="s">
        <v>6</v>
      </c>
      <c r="C6" s="70">
        <v>5</v>
      </c>
      <c r="E6" s="73"/>
      <c r="F6" s="126" t="str">
        <f ca="1">IF(ISBLANK(D4),"",IF(D4&gt;D8,B4,B8))</f>
        <v>Судник</v>
      </c>
      <c r="G6" s="125"/>
      <c r="H6" s="55">
        <v>7</v>
      </c>
      <c r="I6" s="71"/>
    </row>
    <row r="7" spans="1:13" ht="15" customHeight="1" x14ac:dyDescent="0.25">
      <c r="C7" s="70"/>
      <c r="E7" s="73"/>
      <c r="I7" s="72"/>
    </row>
    <row r="8" spans="1:13" ht="15" customHeight="1" x14ac:dyDescent="0.25">
      <c r="A8" s="34" t="s">
        <v>224</v>
      </c>
      <c r="B8" s="124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Осокин</v>
      </c>
      <c r="C8" s="125"/>
      <c r="D8" s="55">
        <v>11</v>
      </c>
      <c r="E8" s="74"/>
      <c r="I8" s="73"/>
    </row>
    <row r="9" spans="1:13" ht="15" customHeight="1" x14ac:dyDescent="0.25">
      <c r="A9" s="34">
        <v>3</v>
      </c>
      <c r="C9" s="70"/>
      <c r="I9" s="73"/>
    </row>
    <row r="10" spans="1:13" ht="15" customHeight="1" x14ac:dyDescent="0.25">
      <c r="C10" s="70"/>
      <c r="G10" s="28" t="s">
        <v>6</v>
      </c>
      <c r="H10" s="70">
        <v>3</v>
      </c>
      <c r="I10" s="73"/>
      <c r="J10" s="126" t="str">
        <f ca="1">IF(ISBLANK(H6),"",IF(H6&gt;H14,F6,F14))</f>
        <v>Догадин</v>
      </c>
      <c r="K10" s="124"/>
      <c r="L10" s="55">
        <v>10</v>
      </c>
      <c r="M10" s="71"/>
    </row>
    <row r="11" spans="1:13" ht="15" customHeight="1" x14ac:dyDescent="0.25">
      <c r="C11" s="70"/>
      <c r="I11" s="73"/>
      <c r="M11" s="72"/>
    </row>
    <row r="12" spans="1:13" ht="15" customHeight="1" x14ac:dyDescent="0.25">
      <c r="A12" s="34" t="s">
        <v>224</v>
      </c>
      <c r="B12" s="124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Гулинин</v>
      </c>
      <c r="C12" s="125"/>
      <c r="D12" s="55">
        <v>7</v>
      </c>
      <c r="E12" s="71"/>
      <c r="I12" s="73"/>
      <c r="M12" s="73"/>
    </row>
    <row r="13" spans="1:13" ht="15" customHeight="1" x14ac:dyDescent="0.25">
      <c r="A13" s="34">
        <v>2</v>
      </c>
      <c r="C13" s="70"/>
      <c r="E13" s="72"/>
      <c r="I13" s="73"/>
      <c r="M13" s="73"/>
    </row>
    <row r="14" spans="1:13" ht="15" customHeight="1" x14ac:dyDescent="0.25">
      <c r="B14" s="28" t="s">
        <v>6</v>
      </c>
      <c r="C14" s="70">
        <v>6</v>
      </c>
      <c r="E14" s="73"/>
      <c r="F14" s="126" t="str">
        <f ca="1">IF(ISBLANK(D12),"",IF(D12&gt;D16,B12,B16))</f>
        <v>Догадин</v>
      </c>
      <c r="G14" s="125"/>
      <c r="H14" s="55">
        <v>13</v>
      </c>
      <c r="I14" s="74"/>
      <c r="M14" s="73"/>
    </row>
    <row r="15" spans="1:13" ht="15" customHeight="1" x14ac:dyDescent="0.25">
      <c r="E15" s="73"/>
      <c r="M15" s="73"/>
    </row>
    <row r="16" spans="1:13" ht="15" customHeight="1" x14ac:dyDescent="0.25">
      <c r="A16" s="34" t="s">
        <v>225</v>
      </c>
      <c r="B16" s="124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Догадин</v>
      </c>
      <c r="C16" s="125"/>
      <c r="D16" s="55">
        <v>13</v>
      </c>
      <c r="E16" s="74"/>
      <c r="M16" s="73"/>
    </row>
    <row r="17" spans="1:15" ht="15" customHeight="1" x14ac:dyDescent="0.25">
      <c r="A17" s="34">
        <v>2</v>
      </c>
      <c r="M17" s="73"/>
    </row>
    <row r="18" spans="1:15" ht="15" customHeight="1" x14ac:dyDescent="0.25">
      <c r="B18" s="28"/>
      <c r="K18" s="28" t="s">
        <v>6</v>
      </c>
      <c r="L18" s="70">
        <v>1</v>
      </c>
      <c r="M18" s="73"/>
      <c r="N18" s="126" t="str">
        <f ca="1">IF(ISBLANK(L10),"",IF(L10&gt;L26,J10,J26))</f>
        <v>Гоцфрид</v>
      </c>
      <c r="O18" s="124"/>
    </row>
    <row r="19" spans="1:15" ht="15" customHeight="1" x14ac:dyDescent="0.25">
      <c r="M19" s="73"/>
    </row>
    <row r="20" spans="1:15" ht="15" customHeight="1" x14ac:dyDescent="0.25">
      <c r="A20" s="34" t="s">
        <v>224</v>
      </c>
      <c r="B20" s="124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Гаджиев</v>
      </c>
      <c r="C20" s="125"/>
      <c r="D20" s="55">
        <v>13</v>
      </c>
      <c r="E20" s="71"/>
      <c r="M20" s="73"/>
    </row>
    <row r="21" spans="1:15" ht="15" customHeight="1" x14ac:dyDescent="0.25">
      <c r="A21" s="34">
        <v>1</v>
      </c>
      <c r="E21" s="72"/>
      <c r="M21" s="73"/>
    </row>
    <row r="22" spans="1:15" ht="15" customHeight="1" x14ac:dyDescent="0.25">
      <c r="B22" s="28" t="s">
        <v>6</v>
      </c>
      <c r="C22" s="70">
        <v>9</v>
      </c>
      <c r="E22" s="73"/>
      <c r="F22" s="126" t="str">
        <f ca="1">IF(ISBLANK(D20),"",IF(D20&gt;D24,B20,B24))</f>
        <v>Гаджиев</v>
      </c>
      <c r="G22" s="125"/>
      <c r="H22" s="55">
        <v>10</v>
      </c>
      <c r="I22" s="71"/>
      <c r="M22" s="73"/>
    </row>
    <row r="23" spans="1:15" ht="15" customHeight="1" x14ac:dyDescent="0.25">
      <c r="E23" s="73"/>
      <c r="I23" s="72"/>
      <c r="M23" s="73"/>
    </row>
    <row r="24" spans="1:15" ht="15" customHeight="1" x14ac:dyDescent="0.25">
      <c r="A24" s="34" t="s">
        <v>223</v>
      </c>
      <c r="B24" s="124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Уткин</v>
      </c>
      <c r="C24" s="125"/>
      <c r="D24" s="55">
        <v>9</v>
      </c>
      <c r="E24" s="74"/>
      <c r="I24" s="73"/>
      <c r="M24" s="73"/>
    </row>
    <row r="25" spans="1:15" ht="15" customHeight="1" x14ac:dyDescent="0.25">
      <c r="A25" s="34">
        <v>2</v>
      </c>
      <c r="I25" s="73"/>
      <c r="M25" s="73"/>
    </row>
    <row r="26" spans="1:15" ht="15" customHeight="1" x14ac:dyDescent="0.25">
      <c r="G26" s="28" t="s">
        <v>6</v>
      </c>
      <c r="H26" s="70">
        <v>4</v>
      </c>
      <c r="I26" s="73"/>
      <c r="J26" s="126" t="str">
        <f ca="1">IF(ISBLANK(H22),"",IF(H22&gt;H30,F22,F30))</f>
        <v>Гоцфрид</v>
      </c>
      <c r="K26" s="125"/>
      <c r="L26" s="55">
        <v>13</v>
      </c>
      <c r="M26" s="74"/>
    </row>
    <row r="27" spans="1:15" ht="15" customHeight="1" x14ac:dyDescent="0.25">
      <c r="I27" s="73"/>
    </row>
    <row r="28" spans="1:15" ht="15" customHeight="1" x14ac:dyDescent="0.25">
      <c r="A28" s="34" t="s">
        <v>225</v>
      </c>
      <c r="B28" s="124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Гоцфрид</v>
      </c>
      <c r="C28" s="125"/>
      <c r="D28" s="55">
        <v>13</v>
      </c>
      <c r="E28" s="71"/>
      <c r="I28" s="73"/>
    </row>
    <row r="29" spans="1:15" ht="15" customHeight="1" x14ac:dyDescent="0.25">
      <c r="A29" s="34">
        <v>1</v>
      </c>
      <c r="E29" s="72"/>
      <c r="I29" s="73"/>
    </row>
    <row r="30" spans="1:15" ht="15" customHeight="1" x14ac:dyDescent="0.25">
      <c r="B30" s="28" t="s">
        <v>6</v>
      </c>
      <c r="C30" s="70">
        <v>10</v>
      </c>
      <c r="E30" s="73"/>
      <c r="F30" s="126" t="str">
        <f ca="1">IF(ISBLANK(D28),"",IF(D28&gt;D32,B28,B32))</f>
        <v>Гоцфрид</v>
      </c>
      <c r="G30" s="125"/>
      <c r="H30" s="55">
        <v>13</v>
      </c>
      <c r="I30" s="74"/>
    </row>
    <row r="31" spans="1:15" ht="15" customHeight="1" x14ac:dyDescent="0.25">
      <c r="E31" s="73"/>
    </row>
    <row r="32" spans="1:15" ht="15" customHeight="1" x14ac:dyDescent="0.25">
      <c r="A32" s="34" t="s">
        <v>223</v>
      </c>
      <c r="B32" s="124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Костин</v>
      </c>
      <c r="C32" s="125"/>
      <c r="D32" s="55">
        <v>8</v>
      </c>
      <c r="E32" s="74"/>
    </row>
    <row r="33" spans="1:7" x14ac:dyDescent="0.25">
      <c r="A33" s="34">
        <v>3</v>
      </c>
    </row>
    <row r="36" spans="1:7" ht="15" customHeight="1" x14ac:dyDescent="0.25">
      <c r="B36" s="124" t="str">
        <f ca="1">IF(ISBLANK(H6),"",IF(H6&gt;H14,F14,F6))</f>
        <v>Судник</v>
      </c>
      <c r="C36" s="125"/>
      <c r="D36" s="55">
        <v>13</v>
      </c>
      <c r="E36" s="71"/>
      <c r="F36" s="127"/>
      <c r="G36" s="127"/>
    </row>
    <row r="37" spans="1:7" ht="15" customHeight="1" x14ac:dyDescent="0.25">
      <c r="E37" s="72"/>
    </row>
    <row r="38" spans="1:7" ht="15" customHeight="1" x14ac:dyDescent="0.25">
      <c r="C38" s="28" t="s">
        <v>6</v>
      </c>
      <c r="D38" s="29">
        <v>2</v>
      </c>
      <c r="E38" s="73"/>
      <c r="F38" s="126" t="str">
        <f ca="1">IF(ISBLANK(D36),"",IF(D36&gt;D40,B36,B40))</f>
        <v>Судник</v>
      </c>
      <c r="G38" s="124"/>
    </row>
    <row r="39" spans="1:7" ht="15" customHeight="1" x14ac:dyDescent="0.25">
      <c r="E39" s="73"/>
    </row>
    <row r="40" spans="1:7" ht="15" customHeight="1" x14ac:dyDescent="0.25">
      <c r="B40" s="124" t="str">
        <f ca="1">IF(ISBLANK(H22),"",IF(H22&gt;H30,F30,F22))</f>
        <v>Гаджиев</v>
      </c>
      <c r="C40" s="125"/>
      <c r="D40" s="55">
        <v>1</v>
      </c>
      <c r="E40" s="74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:K1"/>
    <mergeCell ref="B4:C4"/>
    <mergeCell ref="F6:G6"/>
    <mergeCell ref="B8:C8"/>
    <mergeCell ref="J10:K10"/>
    <mergeCell ref="B12:C12"/>
    <mergeCell ref="F14:G14"/>
    <mergeCell ref="B16:C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6" zoomScaleNormal="100" workbookViewId="0">
      <selection activeCell="H42" sqref="H42"/>
    </sheetView>
  </sheetViews>
  <sheetFormatPr defaultRowHeight="15" x14ac:dyDescent="0.25"/>
  <cols>
    <col min="1" max="1" width="9.140625" style="34"/>
    <col min="2" max="15" width="9.140625" style="29" customWidth="1"/>
    <col min="16" max="16384" width="9.140625" style="29"/>
  </cols>
  <sheetData>
    <row r="1" spans="1:13" ht="59.25" customHeight="1" x14ac:dyDescent="0.4">
      <c r="B1" s="97" t="s">
        <v>220</v>
      </c>
      <c r="C1" s="97"/>
      <c r="D1" s="97"/>
      <c r="E1" s="97"/>
      <c r="F1" s="97"/>
      <c r="G1" s="97"/>
      <c r="H1" s="97"/>
      <c r="I1" s="97"/>
      <c r="J1" s="97"/>
      <c r="K1" s="97"/>
      <c r="L1" s="69" t="s">
        <v>218</v>
      </c>
    </row>
    <row r="2" spans="1:13" ht="15" customHeight="1" x14ac:dyDescent="0.25">
      <c r="C2" s="70"/>
    </row>
    <row r="3" spans="1:13" ht="15" customHeight="1" x14ac:dyDescent="0.25">
      <c r="C3" s="70"/>
    </row>
    <row r="4" spans="1:13" ht="15" customHeight="1" x14ac:dyDescent="0.25">
      <c r="A4" s="34" t="s">
        <v>221</v>
      </c>
      <c r="B4" s="124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Ткаченко</v>
      </c>
      <c r="C4" s="125"/>
      <c r="D4" s="55">
        <v>13</v>
      </c>
      <c r="E4" s="71"/>
    </row>
    <row r="5" spans="1:13" ht="15" customHeight="1" x14ac:dyDescent="0.25">
      <c r="A5" s="34">
        <v>1</v>
      </c>
      <c r="C5" s="70"/>
      <c r="E5" s="72"/>
    </row>
    <row r="6" spans="1:13" ht="15" customHeight="1" x14ac:dyDescent="0.25">
      <c r="B6" s="28" t="s">
        <v>6</v>
      </c>
      <c r="C6" s="70">
        <v>1</v>
      </c>
      <c r="E6" s="73"/>
      <c r="F6" s="126" t="str">
        <f ca="1">IF(ISBLANK(D4),"",IF(D4&gt;D8,B4,B8))</f>
        <v>Ткаченко</v>
      </c>
      <c r="G6" s="125"/>
      <c r="H6" s="55">
        <v>13</v>
      </c>
      <c r="I6" s="71"/>
    </row>
    <row r="7" spans="1:13" ht="15" customHeight="1" x14ac:dyDescent="0.25">
      <c r="C7" s="70"/>
      <c r="E7" s="73"/>
      <c r="I7" s="72"/>
    </row>
    <row r="8" spans="1:13" ht="15" customHeight="1" x14ac:dyDescent="0.25">
      <c r="A8" s="34" t="s">
        <v>222</v>
      </c>
      <c r="B8" s="124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Тюрина</v>
      </c>
      <c r="C8" s="125"/>
      <c r="D8" s="55">
        <v>2</v>
      </c>
      <c r="E8" s="74"/>
      <c r="I8" s="73"/>
    </row>
    <row r="9" spans="1:13" ht="15" customHeight="1" x14ac:dyDescent="0.25">
      <c r="A9" s="34">
        <v>4</v>
      </c>
      <c r="C9" s="70"/>
      <c r="I9" s="73"/>
    </row>
    <row r="10" spans="1:13" ht="15" customHeight="1" x14ac:dyDescent="0.25">
      <c r="C10" s="70"/>
      <c r="G10" s="28" t="s">
        <v>6</v>
      </c>
      <c r="H10" s="70">
        <v>9</v>
      </c>
      <c r="I10" s="73"/>
      <c r="J10" s="126" t="str">
        <f ca="1">IF(ISBLANK(H6),"",IF(H6&gt;H14,F6,F14))</f>
        <v>Ткаченко</v>
      </c>
      <c r="K10" s="124"/>
      <c r="L10" s="55">
        <v>5</v>
      </c>
      <c r="M10" s="71"/>
    </row>
    <row r="11" spans="1:13" ht="15" customHeight="1" x14ac:dyDescent="0.25">
      <c r="C11" s="70"/>
      <c r="I11" s="73"/>
      <c r="M11" s="72"/>
    </row>
    <row r="12" spans="1:13" ht="15" customHeight="1" x14ac:dyDescent="0.25">
      <c r="A12" s="34" t="s">
        <v>221</v>
      </c>
      <c r="B12" s="124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Дубовицкая</v>
      </c>
      <c r="C12" s="125"/>
      <c r="D12" s="55">
        <v>13</v>
      </c>
      <c r="E12" s="71"/>
      <c r="I12" s="73"/>
      <c r="M12" s="73"/>
    </row>
    <row r="13" spans="1:13" ht="15" customHeight="1" x14ac:dyDescent="0.25">
      <c r="A13" s="34">
        <v>3</v>
      </c>
      <c r="C13" s="70"/>
      <c r="E13" s="72"/>
      <c r="I13" s="73"/>
      <c r="M13" s="73"/>
    </row>
    <row r="14" spans="1:13" ht="15" customHeight="1" x14ac:dyDescent="0.25">
      <c r="B14" s="28" t="s">
        <v>6</v>
      </c>
      <c r="C14" s="70">
        <v>2</v>
      </c>
      <c r="E14" s="73"/>
      <c r="F14" s="126" t="str">
        <f ca="1">IF(ISBLANK(D12),"",IF(D12&gt;D16,B12,B16))</f>
        <v>Дубовицкая</v>
      </c>
      <c r="G14" s="125"/>
      <c r="H14" s="55">
        <v>12</v>
      </c>
      <c r="I14" s="74"/>
      <c r="M14" s="73"/>
    </row>
    <row r="15" spans="1:13" ht="15" customHeight="1" x14ac:dyDescent="0.25">
      <c r="E15" s="73"/>
      <c r="M15" s="73"/>
    </row>
    <row r="16" spans="1:13" ht="15" customHeight="1" x14ac:dyDescent="0.25">
      <c r="A16" s="34" t="s">
        <v>222</v>
      </c>
      <c r="B16" s="124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Комарова</v>
      </c>
      <c r="C16" s="125"/>
      <c r="D16" s="55">
        <v>2</v>
      </c>
      <c r="E16" s="74"/>
      <c r="M16" s="73"/>
    </row>
    <row r="17" spans="1:15" ht="15" customHeight="1" x14ac:dyDescent="0.25">
      <c r="A17" s="34">
        <v>2</v>
      </c>
      <c r="M17" s="73"/>
    </row>
    <row r="18" spans="1:15" ht="15" customHeight="1" x14ac:dyDescent="0.25">
      <c r="B18" s="28"/>
      <c r="K18" s="28" t="s">
        <v>6</v>
      </c>
      <c r="L18" s="70">
        <v>5</v>
      </c>
      <c r="M18" s="73"/>
      <c r="N18" s="126" t="str">
        <f ca="1">IF(ISBLANK(L10),"",IF(L10&gt;L26,J10,J26))</f>
        <v>Артюхина</v>
      </c>
      <c r="O18" s="124"/>
    </row>
    <row r="19" spans="1:15" ht="15" customHeight="1" x14ac:dyDescent="0.25">
      <c r="M19" s="73"/>
    </row>
    <row r="20" spans="1:15" ht="15" customHeight="1" x14ac:dyDescent="0.25">
      <c r="A20" s="34" t="s">
        <v>222</v>
      </c>
      <c r="B20" s="124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Санникова</v>
      </c>
      <c r="C20" s="125"/>
      <c r="D20" s="55">
        <v>9</v>
      </c>
      <c r="E20" s="71"/>
      <c r="M20" s="73"/>
    </row>
    <row r="21" spans="1:15" ht="15" customHeight="1" x14ac:dyDescent="0.25">
      <c r="A21" s="34">
        <v>1</v>
      </c>
      <c r="E21" s="72"/>
      <c r="M21" s="73"/>
    </row>
    <row r="22" spans="1:15" ht="15" customHeight="1" x14ac:dyDescent="0.25">
      <c r="B22" s="28" t="s">
        <v>6</v>
      </c>
      <c r="C22" s="70">
        <v>3</v>
      </c>
      <c r="E22" s="73"/>
      <c r="F22" s="126" t="str">
        <f ca="1">IF(ISBLANK(D20),"",IF(D20&gt;D24,B20,B24))</f>
        <v>Артюхина</v>
      </c>
      <c r="G22" s="125"/>
      <c r="H22" s="55">
        <v>13</v>
      </c>
      <c r="I22" s="71"/>
      <c r="M22" s="73"/>
    </row>
    <row r="23" spans="1:15" ht="15" customHeight="1" x14ac:dyDescent="0.25">
      <c r="E23" s="73"/>
      <c r="I23" s="72"/>
      <c r="M23" s="73"/>
    </row>
    <row r="24" spans="1:15" ht="15" customHeight="1" x14ac:dyDescent="0.25">
      <c r="A24" s="34" t="s">
        <v>221</v>
      </c>
      <c r="B24" s="124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Артюхина</v>
      </c>
      <c r="C24" s="125"/>
      <c r="D24" s="55">
        <v>13</v>
      </c>
      <c r="E24" s="74"/>
      <c r="I24" s="73"/>
      <c r="M24" s="73"/>
    </row>
    <row r="25" spans="1:15" ht="15" customHeight="1" x14ac:dyDescent="0.25">
      <c r="A25" s="34">
        <v>4</v>
      </c>
      <c r="I25" s="73"/>
      <c r="M25" s="73"/>
    </row>
    <row r="26" spans="1:15" ht="15" customHeight="1" x14ac:dyDescent="0.25">
      <c r="G26" s="28" t="s">
        <v>6</v>
      </c>
      <c r="H26" s="70">
        <v>10</v>
      </c>
      <c r="I26" s="73"/>
      <c r="J26" s="126" t="str">
        <f ca="1">IF(ISBLANK(H22),"",IF(H22&gt;H30,F22,F30))</f>
        <v>Артюхина</v>
      </c>
      <c r="K26" s="125"/>
      <c r="L26" s="55">
        <v>13</v>
      </c>
      <c r="M26" s="74"/>
    </row>
    <row r="27" spans="1:15" ht="15" customHeight="1" x14ac:dyDescent="0.25">
      <c r="I27" s="73"/>
    </row>
    <row r="28" spans="1:15" ht="15" customHeight="1" x14ac:dyDescent="0.25">
      <c r="A28" s="34" t="s">
        <v>221</v>
      </c>
      <c r="B28" s="124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Корнеевская</v>
      </c>
      <c r="C28" s="125"/>
      <c r="D28" s="55">
        <v>13</v>
      </c>
      <c r="E28" s="71"/>
      <c r="I28" s="73"/>
    </row>
    <row r="29" spans="1:15" ht="15" customHeight="1" x14ac:dyDescent="0.25">
      <c r="A29" s="34">
        <v>2</v>
      </c>
      <c r="E29" s="72"/>
      <c r="I29" s="73"/>
    </row>
    <row r="30" spans="1:15" ht="15" customHeight="1" x14ac:dyDescent="0.25">
      <c r="B30" s="28" t="s">
        <v>6</v>
      </c>
      <c r="C30" s="70">
        <v>4</v>
      </c>
      <c r="E30" s="73"/>
      <c r="F30" s="126" t="str">
        <f ca="1">IF(ISBLANK(D28),"",IF(D28&gt;D32,B28,B32))</f>
        <v>Корнеевская</v>
      </c>
      <c r="G30" s="125"/>
      <c r="H30" s="55">
        <v>2</v>
      </c>
      <c r="I30" s="74"/>
    </row>
    <row r="31" spans="1:15" ht="15" customHeight="1" x14ac:dyDescent="0.25">
      <c r="E31" s="73"/>
    </row>
    <row r="32" spans="1:15" ht="15" customHeight="1" x14ac:dyDescent="0.25">
      <c r="A32" s="34" t="s">
        <v>222</v>
      </c>
      <c r="B32" s="124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Бублик</v>
      </c>
      <c r="C32" s="125"/>
      <c r="D32" s="55">
        <v>6</v>
      </c>
      <c r="E32" s="74"/>
    </row>
    <row r="33" spans="1:7" x14ac:dyDescent="0.25">
      <c r="A33" s="34">
        <v>3</v>
      </c>
    </row>
    <row r="36" spans="1:7" ht="15" customHeight="1" x14ac:dyDescent="0.25">
      <c r="B36" s="124" t="str">
        <f ca="1">IF(ISBLANK(H6),"",IF(H6&gt;H14,F14,F6))</f>
        <v>Дубовицкая</v>
      </c>
      <c r="C36" s="125"/>
      <c r="D36" s="55">
        <v>13</v>
      </c>
      <c r="E36" s="71"/>
      <c r="F36" s="127"/>
      <c r="G36" s="127"/>
    </row>
    <row r="37" spans="1:7" ht="15" customHeight="1" x14ac:dyDescent="0.25">
      <c r="E37" s="72"/>
    </row>
    <row r="38" spans="1:7" ht="15" customHeight="1" x14ac:dyDescent="0.25">
      <c r="C38" s="28" t="s">
        <v>6</v>
      </c>
      <c r="D38" s="29">
        <v>6</v>
      </c>
      <c r="E38" s="73"/>
      <c r="F38" s="126" t="str">
        <f ca="1">IF(ISBLANK(D36),"",IF(D36&gt;D40,B36,B40))</f>
        <v>Дубовицкая</v>
      </c>
      <c r="G38" s="124"/>
    </row>
    <row r="39" spans="1:7" ht="15" customHeight="1" x14ac:dyDescent="0.25">
      <c r="E39" s="73"/>
    </row>
    <row r="40" spans="1:7" ht="15" customHeight="1" x14ac:dyDescent="0.25">
      <c r="B40" s="124" t="str">
        <f ca="1">IF(ISBLANK(H22),"",IF(H22&gt;H30,F30,F22))</f>
        <v>Корнеевская</v>
      </c>
      <c r="C40" s="125"/>
      <c r="D40" s="55">
        <v>11</v>
      </c>
      <c r="E40" s="74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:K1"/>
    <mergeCell ref="B4:C4"/>
    <mergeCell ref="F6:G6"/>
    <mergeCell ref="B8:C8"/>
    <mergeCell ref="J10:K10"/>
    <mergeCell ref="B12:C12"/>
    <mergeCell ref="F14:G14"/>
    <mergeCell ref="B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25">
      <c r="B1" s="97" t="s">
        <v>103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4" ht="15.75" thickBot="1" x14ac:dyDescent="0.3">
      <c r="M2"/>
    </row>
    <row r="3" spans="1:14" ht="30" customHeight="1" thickBot="1" x14ac:dyDescent="0.3">
      <c r="B3" s="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2" t="s">
        <v>182</v>
      </c>
      <c r="D4" s="103"/>
      <c r="E4" s="104"/>
      <c r="F4" s="8" t="s">
        <v>4</v>
      </c>
      <c r="G4" s="9" t="str">
        <f ca="1">INDIRECT(ADDRESS(27,6))&amp;":"&amp;INDIRECT(ADDRESS(27,7))</f>
        <v>4:13</v>
      </c>
      <c r="H4" s="9" t="str">
        <f ca="1">INDIRECT(ADDRESS(31,7))&amp;":"&amp;INDIRECT(ADDRESS(31,6))</f>
        <v>6:13</v>
      </c>
      <c r="I4" s="9" t="str">
        <f ca="1">INDIRECT(ADDRESS(36,6))&amp;":"&amp;INDIRECT(ADDRESS(36,7))</f>
        <v>13:11</v>
      </c>
      <c r="J4" s="9" t="str">
        <f ca="1">INDIRECT(ADDRESS(42,7))&amp;":"&amp;INDIRECT(ADDRESS(42,6))</f>
        <v>13:11</v>
      </c>
      <c r="K4" s="10" t="str">
        <f ca="1">INDIRECT(ADDRESS(20,6))&amp;":"&amp;INDIRECT(ADDRESS(20,7))</f>
        <v>11:12</v>
      </c>
      <c r="L4" s="105">
        <f ca="1">IF(COUNT(F5:K5)=0,"",COUNTIF(F5:K5,"&gt;0")+0.5*COUNTIF(F5:K5,0))</f>
        <v>2</v>
      </c>
      <c r="M4" s="11">
        <v>4</v>
      </c>
      <c r="N4" s="96">
        <v>3</v>
      </c>
    </row>
    <row r="5" spans="1:14" ht="24" customHeight="1" x14ac:dyDescent="0.25">
      <c r="A5" s="6"/>
      <c r="B5" s="91"/>
      <c r="C5" s="81"/>
      <c r="D5" s="82"/>
      <c r="E5" s="83"/>
      <c r="F5" s="12" t="s">
        <v>4</v>
      </c>
      <c r="G5" s="13">
        <f ca="1">IF(LEN(INDIRECT(ADDRESS(ROW()-1, COLUMN())))=1,"",INDIRECT(ADDRESS(27,6))-INDIRECT(ADDRESS(27,7)))</f>
        <v>-9</v>
      </c>
      <c r="H5" s="13">
        <f ca="1">IF(LEN(INDIRECT(ADDRESS(ROW()-1, COLUMN())))=1,"",INDIRECT(ADDRESS(31,7))-INDIRECT(ADDRESS(31,6)))</f>
        <v>-7</v>
      </c>
      <c r="I5" s="13">
        <f ca="1">IF(LEN(INDIRECT(ADDRESS(ROW()-1, COLUMN())))=1,"",INDIRECT(ADDRESS(36,6))-INDIRECT(ADDRESS(36,7)))</f>
        <v>2</v>
      </c>
      <c r="J5" s="13">
        <f ca="1">IF(LEN(INDIRECT(ADDRESS(ROW()-1, COLUMN())))=1,"",INDIRECT(ADDRESS(42,7))-INDIRECT(ADDRESS(42,6)))</f>
        <v>2</v>
      </c>
      <c r="K5" s="14">
        <f ca="1">IF(LEN(INDIRECT(ADDRESS(ROW()-1, COLUMN())))=1,"",INDIRECT(ADDRESS(20,6))-INDIRECT(ADDRESS(20,7)))</f>
        <v>-1</v>
      </c>
      <c r="L5" s="87"/>
      <c r="M5" s="13">
        <f ca="1">IF(COUNT(F5:K5)=0,"",SUM(F5:K5))</f>
        <v>-13</v>
      </c>
      <c r="N5" s="92"/>
    </row>
    <row r="6" spans="1:14" ht="24" customHeight="1" x14ac:dyDescent="0.25">
      <c r="A6" s="6"/>
      <c r="B6" s="79">
        <v>2</v>
      </c>
      <c r="C6" s="81" t="s">
        <v>183</v>
      </c>
      <c r="D6" s="82"/>
      <c r="E6" s="83"/>
      <c r="F6" s="15" t="str">
        <f ca="1">INDIRECT(ADDRESS(27,7))&amp;":"&amp;INDIRECT(ADDRESS(27,6))</f>
        <v>13:4</v>
      </c>
      <c r="G6" s="16" t="s">
        <v>4</v>
      </c>
      <c r="H6" s="17" t="str">
        <f ca="1">INDIRECT(ADDRESS(37,6))&amp;":"&amp;INDIRECT(ADDRESS(37,7))</f>
        <v>6:13</v>
      </c>
      <c r="I6" s="17" t="str">
        <f ca="1">INDIRECT(ADDRESS(41,7))&amp;":"&amp;INDIRECT(ADDRESS(41,6))</f>
        <v>9:13</v>
      </c>
      <c r="J6" s="17" t="str">
        <f ca="1">INDIRECT(ADDRESS(21,6))&amp;":"&amp;INDIRECT(ADDRESS(21,7))</f>
        <v>5:13</v>
      </c>
      <c r="K6" s="18" t="str">
        <f ca="1">INDIRECT(ADDRESS(30,6))&amp;":"&amp;INDIRECT(ADDRESS(30,7))</f>
        <v>5:13</v>
      </c>
      <c r="L6" s="87">
        <f ca="1">IF(COUNT(F7:K7)=0,"",COUNTIF(F7:K7,"&gt;0")+0.5*COUNTIF(F7:K7,0))</f>
        <v>1</v>
      </c>
      <c r="M6" s="13"/>
      <c r="N6" s="89">
        <v>6</v>
      </c>
    </row>
    <row r="7" spans="1:14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COLUMN())))=1,"",INDIRECT(ADDRESS(27,7))-INDIRECT(ADDRESS(27,6)))</f>
        <v>9</v>
      </c>
      <c r="G7" s="20" t="s">
        <v>4</v>
      </c>
      <c r="H7" s="13">
        <f ca="1">IF(LEN(INDIRECT(ADDRESS(ROW()-1, COLUMN())))=1,"",INDIRECT(ADDRESS(37,6))-INDIRECT(ADDRESS(37,7)))</f>
        <v>-7</v>
      </c>
      <c r="I7" s="13">
        <f ca="1">IF(LEN(INDIRECT(ADDRESS(ROW()-1, COLUMN())))=1,"",INDIRECT(ADDRESS(41,7))-INDIRECT(ADDRESS(41,6)))</f>
        <v>-4</v>
      </c>
      <c r="J7" s="13">
        <f ca="1">IF(LEN(INDIRECT(ADDRESS(ROW()-1, COLUMN())))=1,"",INDIRECT(ADDRESS(21,6))-INDIRECT(ADDRESS(21,7)))</f>
        <v>-8</v>
      </c>
      <c r="K7" s="14">
        <f ca="1">IF(LEN(INDIRECT(ADDRESS(ROW()-1, COLUMN())))=1,"",INDIRECT(ADDRESS(30,6))-INDIRECT(ADDRESS(30,7)))</f>
        <v>-8</v>
      </c>
      <c r="L7" s="87"/>
      <c r="M7" s="13">
        <f ca="1">IF(COUNT(F7:K7)=0,"",SUM(F7:K7))</f>
        <v>-18</v>
      </c>
      <c r="N7" s="92"/>
    </row>
    <row r="8" spans="1:14" ht="24" customHeight="1" x14ac:dyDescent="0.25">
      <c r="A8" s="6"/>
      <c r="B8" s="79">
        <v>3</v>
      </c>
      <c r="C8" s="93" t="s">
        <v>184</v>
      </c>
      <c r="D8" s="94"/>
      <c r="E8" s="95"/>
      <c r="F8" s="15" t="str">
        <f ca="1">INDIRECT(ADDRESS(31,6))&amp;":"&amp;INDIRECT(ADDRESS(31,7))</f>
        <v>13:6</v>
      </c>
      <c r="G8" s="17" t="str">
        <f ca="1">INDIRECT(ADDRESS(37,7))&amp;":"&amp;INDIRECT(ADDRESS(37,6))</f>
        <v>13:6</v>
      </c>
      <c r="H8" s="16" t="s">
        <v>4</v>
      </c>
      <c r="I8" s="17" t="str">
        <f ca="1">INDIRECT(ADDRESS(22,6))&amp;":"&amp;INDIRECT(ADDRESS(22,7))</f>
        <v>12:10</v>
      </c>
      <c r="J8" s="17" t="str">
        <f ca="1">INDIRECT(ADDRESS(26,7))&amp;":"&amp;INDIRECT(ADDRESS(26,6))</f>
        <v>13:3</v>
      </c>
      <c r="K8" s="18" t="str">
        <f ca="1">INDIRECT(ADDRESS(40,6))&amp;":"&amp;INDIRECT(ADDRESS(40,7))</f>
        <v>13:11</v>
      </c>
      <c r="L8" s="87">
        <f ca="1">IF(COUNT(F9:K9)=0,"",COUNTIF(F9:K9,"&gt;0")+0.5*COUNTIF(F9:K9,0))</f>
        <v>5</v>
      </c>
      <c r="M8" s="13"/>
      <c r="N8" s="89">
        <v>1</v>
      </c>
    </row>
    <row r="9" spans="1:14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COLUMN())))=1,"",INDIRECT(ADDRESS(31,6))-INDIRECT(ADDRESS(31,7)))</f>
        <v>7</v>
      </c>
      <c r="G9" s="13">
        <f ca="1">IF(LEN(INDIRECT(ADDRESS(ROW()-1, COLUMN())))=1,"",INDIRECT(ADDRESS(37,7))-INDIRECT(ADDRESS(37,6)))</f>
        <v>7</v>
      </c>
      <c r="H9" s="20" t="s">
        <v>4</v>
      </c>
      <c r="I9" s="13">
        <f ca="1">IF(LEN(INDIRECT(ADDRESS(ROW()-1, COLUMN())))=1,"",INDIRECT(ADDRESS(22,6))-INDIRECT(ADDRESS(22,7)))</f>
        <v>2</v>
      </c>
      <c r="J9" s="13">
        <f ca="1">IF(LEN(INDIRECT(ADDRESS(ROW()-1, COLUMN())))=1,"",INDIRECT(ADDRESS(26,7))-INDIRECT(ADDRESS(26,6)))</f>
        <v>10</v>
      </c>
      <c r="K9" s="14">
        <f ca="1">IF(LEN(INDIRECT(ADDRESS(ROW()-1, COLUMN())))=1,"",INDIRECT(ADDRESS(40,6))-INDIRECT(ADDRESS(40,7)))</f>
        <v>2</v>
      </c>
      <c r="L9" s="87"/>
      <c r="M9" s="13">
        <f ca="1">IF(COUNT(F9:K9)=0,"",SUM(F9:K9))</f>
        <v>28</v>
      </c>
      <c r="N9" s="92"/>
    </row>
    <row r="10" spans="1:14" ht="24" customHeight="1" x14ac:dyDescent="0.25">
      <c r="A10" s="6"/>
      <c r="B10" s="79">
        <v>4</v>
      </c>
      <c r="C10" s="81" t="s">
        <v>185</v>
      </c>
      <c r="D10" s="82"/>
      <c r="E10" s="83"/>
      <c r="F10" s="15" t="str">
        <f ca="1">INDIRECT(ADDRESS(36,7))&amp;":"&amp;INDIRECT(ADDRESS(36,6))</f>
        <v>11:13</v>
      </c>
      <c r="G10" s="17" t="str">
        <f ca="1">INDIRECT(ADDRESS(41,6))&amp;":"&amp;INDIRECT(ADDRESS(41,7))</f>
        <v>13:9</v>
      </c>
      <c r="H10" s="17" t="str">
        <f ca="1">INDIRECT(ADDRESS(22,7))&amp;":"&amp;INDIRECT(ADDRESS(22,6))</f>
        <v>10:12</v>
      </c>
      <c r="I10" s="16" t="s">
        <v>4</v>
      </c>
      <c r="J10" s="17" t="str">
        <f ca="1">INDIRECT(ADDRESS(32,6))&amp;":"&amp;INDIRECT(ADDRESS(32,7))</f>
        <v>9:13</v>
      </c>
      <c r="K10" s="18" t="str">
        <f ca="1">INDIRECT(ADDRESS(25,7))&amp;":"&amp;INDIRECT(ADDRESS(25,6))</f>
        <v>13:5</v>
      </c>
      <c r="L10" s="87">
        <f ca="1">IF(COUNT(F11:K11)=0,"",COUNTIF(F11:K11,"&gt;0")+0.5*COUNTIF(F11:K11,0))</f>
        <v>2</v>
      </c>
      <c r="M10" s="13">
        <v>-6</v>
      </c>
      <c r="N10" s="89">
        <v>5</v>
      </c>
    </row>
    <row r="11" spans="1:14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COLUMN())))=1,"",INDIRECT(ADDRESS(36,7))-INDIRECT(ADDRESS(36,6)))</f>
        <v>-2</v>
      </c>
      <c r="G11" s="13">
        <f ca="1">IF(LEN(INDIRECT(ADDRESS(ROW()-1, COLUMN())))=1,"",INDIRECT(ADDRESS(41,6))-INDIRECT(ADDRESS(41,7)))</f>
        <v>4</v>
      </c>
      <c r="H11" s="13">
        <f ca="1">IF(LEN(INDIRECT(ADDRESS(ROW()-1, COLUMN())))=1,"",INDIRECT(ADDRESS(22,7))-INDIRECT(ADDRESS(22,6)))</f>
        <v>-2</v>
      </c>
      <c r="I11" s="20" t="s">
        <v>4</v>
      </c>
      <c r="J11" s="13">
        <f ca="1">IF(LEN(INDIRECT(ADDRESS(ROW()-1, COLUMN())))=1,"",INDIRECT(ADDRESS(32,6))-INDIRECT(ADDRESS(32,7)))</f>
        <v>-4</v>
      </c>
      <c r="K11" s="14">
        <f ca="1">IF(LEN(INDIRECT(ADDRESS(ROW()-1, COLUMN())))=1,"",INDIRECT(ADDRESS(25,7))-INDIRECT(ADDRESS(25,6)))</f>
        <v>8</v>
      </c>
      <c r="L11" s="87"/>
      <c r="M11" s="13">
        <f ca="1">IF(COUNT(F11:K11)=0,"",SUM(F11:K11))</f>
        <v>4</v>
      </c>
      <c r="N11" s="92"/>
    </row>
    <row r="12" spans="1:14" ht="24" customHeight="1" x14ac:dyDescent="0.25">
      <c r="A12" s="6"/>
      <c r="B12" s="79">
        <v>5</v>
      </c>
      <c r="C12" s="81" t="s">
        <v>186</v>
      </c>
      <c r="D12" s="82"/>
      <c r="E12" s="83"/>
      <c r="F12" s="15" t="str">
        <f ca="1">INDIRECT(ADDRESS(42,6))&amp;":"&amp;INDIRECT(ADDRESS(42,7))</f>
        <v>11:13</v>
      </c>
      <c r="G12" s="17" t="str">
        <f ca="1">INDIRECT(ADDRESS(21,7))&amp;":"&amp;INDIRECT(ADDRESS(21,6))</f>
        <v>13:5</v>
      </c>
      <c r="H12" s="17" t="str">
        <f ca="1">INDIRECT(ADDRESS(26,6))&amp;":"&amp;INDIRECT(ADDRESS(26,7))</f>
        <v>3:13</v>
      </c>
      <c r="I12" s="17" t="str">
        <f ca="1">INDIRECT(ADDRESS(32,7))&amp;":"&amp;INDIRECT(ADDRESS(32,6))</f>
        <v>13:9</v>
      </c>
      <c r="J12" s="16" t="s">
        <v>4</v>
      </c>
      <c r="K12" s="18" t="str">
        <f ca="1">INDIRECT(ADDRESS(35,7))&amp;":"&amp;INDIRECT(ADDRESS(35,6))</f>
        <v>10:13</v>
      </c>
      <c r="L12" s="87">
        <f ca="1">IF(COUNT(F13:K13)=0,"",COUNTIF(F13:K13,"&gt;0")+0.5*COUNTIF(F13:K13,0))</f>
        <v>2</v>
      </c>
      <c r="M12" s="13">
        <v>2</v>
      </c>
      <c r="N12" s="89">
        <v>4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-2</v>
      </c>
      <c r="G13" s="13">
        <f ca="1">IF(LEN(INDIRECT(ADDRESS(ROW()-1, COLUMN())))=1,"",INDIRECT(ADDRESS(21,7))-INDIRECT(ADDRESS(21,6)))</f>
        <v>8</v>
      </c>
      <c r="H13" s="13">
        <f ca="1">IF(LEN(INDIRECT(ADDRESS(ROW()-1, COLUMN())))=1,"",INDIRECT(ADDRESS(26,6))-INDIRECT(ADDRESS(26,7)))</f>
        <v>-10</v>
      </c>
      <c r="I13" s="13">
        <f ca="1">IF(LEN(INDIRECT(ADDRESS(ROW()-1, COLUMN())))=1,"",INDIRECT(ADDRESS(32,7))-INDIRECT(ADDRESS(32,6)))</f>
        <v>4</v>
      </c>
      <c r="J13" s="20" t="s">
        <v>4</v>
      </c>
      <c r="K13" s="14">
        <f ca="1">IF(LEN(INDIRECT(ADDRESS(ROW()-1, COLUMN())))=1,"",INDIRECT(ADDRESS(35,7))-INDIRECT(ADDRESS(35,6)))</f>
        <v>-3</v>
      </c>
      <c r="L13" s="87"/>
      <c r="M13" s="13">
        <f ca="1">IF(COUNT(F13:K13)=0,"",SUM(F13:K13))</f>
        <v>-3</v>
      </c>
      <c r="N13" s="92"/>
    </row>
    <row r="14" spans="1:14" ht="24" customHeight="1" x14ac:dyDescent="0.25">
      <c r="A14" s="6"/>
      <c r="B14" s="79">
        <v>6</v>
      </c>
      <c r="C14" s="93" t="s">
        <v>187</v>
      </c>
      <c r="D14" s="94"/>
      <c r="E14" s="95"/>
      <c r="F14" s="15" t="str">
        <f ca="1">INDIRECT(ADDRESS(20,7))&amp;":"&amp;INDIRECT(ADDRESS(20,6))</f>
        <v>12:11</v>
      </c>
      <c r="G14" s="17" t="str">
        <f ca="1">INDIRECT(ADDRESS(30,7))&amp;":"&amp;INDIRECT(ADDRESS(30,6))</f>
        <v>13:5</v>
      </c>
      <c r="H14" s="17" t="str">
        <f ca="1">INDIRECT(ADDRESS(40,7))&amp;":"&amp;INDIRECT(ADDRESS(40,6))</f>
        <v>11:13</v>
      </c>
      <c r="I14" s="17" t="str">
        <f ca="1">INDIRECT(ADDRESS(25,6))&amp;":"&amp;INDIRECT(ADDRESS(25,7))</f>
        <v>5:13</v>
      </c>
      <c r="J14" s="17" t="str">
        <f ca="1">INDIRECT(ADDRESS(35,6))&amp;":"&amp;INDIRECT(ADDRESS(35,7))</f>
        <v>13:10</v>
      </c>
      <c r="K14" s="21" t="s">
        <v>4</v>
      </c>
      <c r="L14" s="87">
        <f ca="1">IF(COUNT(F15:K15)=0,"",COUNTIF(F15:K15,"&gt;0")+0.5*COUNTIF(F15:K15,0))</f>
        <v>3</v>
      </c>
      <c r="M14" s="13"/>
      <c r="N14" s="89">
        <v>2</v>
      </c>
    </row>
    <row r="15" spans="1:14" ht="24" customHeight="1" thickBot="1" x14ac:dyDescent="0.3">
      <c r="A15" s="6"/>
      <c r="B15" s="80"/>
      <c r="C15" s="106"/>
      <c r="D15" s="107"/>
      <c r="E15" s="108"/>
      <c r="F15" s="22">
        <f ca="1">IF(LEN(INDIRECT(ADDRESS(ROW()-1, COLUMN())))=1,"",INDIRECT(ADDRESS(20,7))-INDIRECT(ADDRESS(20,6)))</f>
        <v>1</v>
      </c>
      <c r="G15" s="23">
        <f ca="1">IF(LEN(INDIRECT(ADDRESS(ROW()-1, COLUMN())))=1,"",INDIRECT(ADDRESS(30,7))-INDIRECT(ADDRESS(30,6)))</f>
        <v>8</v>
      </c>
      <c r="H15" s="23">
        <f ca="1">IF(LEN(INDIRECT(ADDRESS(ROW()-1, COLUMN())))=1,"",INDIRECT(ADDRESS(40,7))-INDIRECT(ADDRESS(40,6)))</f>
        <v>-2</v>
      </c>
      <c r="I15" s="23">
        <f ca="1">IF(LEN(INDIRECT(ADDRESS(ROW()-1, COLUMN())))=1,"",INDIRECT(ADDRESS(25,6))-INDIRECT(ADDRESS(25,7)))</f>
        <v>-8</v>
      </c>
      <c r="J15" s="23">
        <f ca="1">IF(LEN(INDIRECT(ADDRESS(ROW()-1, COLUMN())))=1,"",INDIRECT(ADDRESS(35,6))-INDIRECT(ADDRESS(35,7)))</f>
        <v>3</v>
      </c>
      <c r="K15" s="24" t="s">
        <v>4</v>
      </c>
      <c r="L15" s="88"/>
      <c r="M15" s="23">
        <f ca="1">IF(COUNT(F15:K15)=0,"",SUM(F15:K15))</f>
        <v>2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Ялынский Леонид</v>
      </c>
      <c r="D20" s="75"/>
      <c r="E20" s="76"/>
      <c r="F20" s="26">
        <v>11</v>
      </c>
      <c r="G20" s="27">
        <v>12</v>
      </c>
      <c r="H20" s="77" t="str">
        <f ca="1">IF(ISBLANK(INDIRECT(ADDRESS(K20*2+2,3))),"",INDIRECT(ADDRESS(K20*2+2,3)))</f>
        <v>Ницинский Станислав</v>
      </c>
      <c r="I20" s="75"/>
      <c r="J20" s="75"/>
      <c r="K20" s="25">
        <v>6</v>
      </c>
      <c r="L20" s="28" t="s">
        <v>6</v>
      </c>
      <c r="M20" s="29"/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Бердыев Борис</v>
      </c>
      <c r="D21" s="75"/>
      <c r="E21" s="76"/>
      <c r="F21" s="26">
        <v>5</v>
      </c>
      <c r="G21" s="27">
        <v>13</v>
      </c>
      <c r="H21" s="77" t="str">
        <f ca="1">IF(ISBLANK(INDIRECT(ADDRESS(K21*2+2,3))),"",INDIRECT(ADDRESS(K21*2+2,3)))</f>
        <v>Петрушко Алексей</v>
      </c>
      <c r="I21" s="75"/>
      <c r="J21" s="75"/>
      <c r="K21" s="25">
        <v>5</v>
      </c>
      <c r="L21" s="28" t="s">
        <v>6</v>
      </c>
      <c r="M21" s="29"/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Комаров Александр</v>
      </c>
      <c r="D22" s="75"/>
      <c r="E22" s="76"/>
      <c r="F22" s="26">
        <v>12</v>
      </c>
      <c r="G22" s="27">
        <v>10</v>
      </c>
      <c r="H22" s="77" t="str">
        <f ca="1">IF(ISBLANK(INDIRECT(ADDRESS(K22*2+2,3))),"",INDIRECT(ADDRESS(K22*2+2,3)))</f>
        <v>Ли Александр</v>
      </c>
      <c r="I22" s="75"/>
      <c r="J22" s="75"/>
      <c r="K22" s="25">
        <v>4</v>
      </c>
      <c r="L22" s="28" t="s">
        <v>6</v>
      </c>
      <c r="M22" s="29"/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Ницинский Станислав</v>
      </c>
      <c r="D25" s="75"/>
      <c r="E25" s="76"/>
      <c r="F25" s="26">
        <v>5</v>
      </c>
      <c r="G25" s="27">
        <v>13</v>
      </c>
      <c r="H25" s="77" t="str">
        <f ca="1">IF(ISBLANK(INDIRECT(ADDRESS(K25*2+2,3))),"",INDIRECT(ADDRESS(K25*2+2,3)))</f>
        <v>Ли Александр</v>
      </c>
      <c r="I25" s="75"/>
      <c r="J25" s="75"/>
      <c r="K25" s="25">
        <v>4</v>
      </c>
      <c r="L25" s="28" t="s">
        <v>6</v>
      </c>
      <c r="M25" s="29"/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Петрушко Алексей</v>
      </c>
      <c r="D26" s="75"/>
      <c r="E26" s="76"/>
      <c r="F26" s="26">
        <v>3</v>
      </c>
      <c r="G26" s="27">
        <v>13</v>
      </c>
      <c r="H26" s="77" t="str">
        <f ca="1">IF(ISBLANK(INDIRECT(ADDRESS(K26*2+2,3))),"",INDIRECT(ADDRESS(K26*2+2,3)))</f>
        <v>Комаров Александр</v>
      </c>
      <c r="I26" s="75"/>
      <c r="J26" s="75"/>
      <c r="K26" s="25">
        <v>3</v>
      </c>
      <c r="L26" s="28" t="s">
        <v>6</v>
      </c>
      <c r="M26" s="29"/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Ялынский Леонид</v>
      </c>
      <c r="D27" s="75"/>
      <c r="E27" s="76"/>
      <c r="F27" s="26">
        <v>4</v>
      </c>
      <c r="G27" s="27">
        <v>13</v>
      </c>
      <c r="H27" s="77" t="str">
        <f ca="1">IF(ISBLANK(INDIRECT(ADDRESS(K27*2+2,3))),"",INDIRECT(ADDRESS(K27*2+2,3)))</f>
        <v>Бердыев Борис</v>
      </c>
      <c r="I27" s="75"/>
      <c r="J27" s="75"/>
      <c r="K27" s="25">
        <v>2</v>
      </c>
      <c r="L27" s="28" t="s">
        <v>6</v>
      </c>
      <c r="M27" s="29"/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Бердыев Борис</v>
      </c>
      <c r="D30" s="75"/>
      <c r="E30" s="76"/>
      <c r="F30" s="26">
        <v>5</v>
      </c>
      <c r="G30" s="27">
        <v>13</v>
      </c>
      <c r="H30" s="77" t="str">
        <f ca="1">IF(ISBLANK(INDIRECT(ADDRESS(K30*2+2,3))),"",INDIRECT(ADDRESS(K30*2+2,3)))</f>
        <v>Ницинский Станислав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Комаров Александр</v>
      </c>
      <c r="D31" s="75"/>
      <c r="E31" s="76"/>
      <c r="F31" s="26">
        <v>13</v>
      </c>
      <c r="G31" s="27">
        <v>6</v>
      </c>
      <c r="H31" s="77" t="str">
        <f ca="1">IF(ISBLANK(INDIRECT(ADDRESS(K31*2+2,3))),"",INDIRECT(ADDRESS(K31*2+2,3)))</f>
        <v>Ялынский Леонид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Ли Александр</v>
      </c>
      <c r="D32" s="75"/>
      <c r="E32" s="76"/>
      <c r="F32" s="26">
        <v>9</v>
      </c>
      <c r="G32" s="27">
        <v>13</v>
      </c>
      <c r="H32" s="77" t="str">
        <f ca="1">IF(ISBLANK(INDIRECT(ADDRESS(K32*2+2,3))),"",INDIRECT(ADDRESS(K32*2+2,3)))</f>
        <v>Петрушко Алексей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Ницинский Станислав</v>
      </c>
      <c r="D35" s="75"/>
      <c r="E35" s="76"/>
      <c r="F35" s="26">
        <v>13</v>
      </c>
      <c r="G35" s="27">
        <v>10</v>
      </c>
      <c r="H35" s="77" t="str">
        <f ca="1">IF(ISBLANK(INDIRECT(ADDRESS(K35*2+2,3))),"",INDIRECT(ADDRESS(K35*2+2,3)))</f>
        <v>Петрушко Алексей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Ялынский Леонид</v>
      </c>
      <c r="D36" s="75"/>
      <c r="E36" s="76"/>
      <c r="F36" s="26">
        <v>13</v>
      </c>
      <c r="G36" s="27">
        <v>11</v>
      </c>
      <c r="H36" s="77" t="str">
        <f ca="1">IF(ISBLANK(INDIRECT(ADDRESS(K36*2+2,3))),"",INDIRECT(ADDRESS(K36*2+2,3)))</f>
        <v>Ли Александр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Бердыев Борис</v>
      </c>
      <c r="D37" s="75"/>
      <c r="E37" s="76"/>
      <c r="F37" s="26">
        <v>6</v>
      </c>
      <c r="G37" s="27">
        <v>13</v>
      </c>
      <c r="H37" s="77" t="str">
        <f ca="1">IF(ISBLANK(INDIRECT(ADDRESS(K37*2+2,3))),"",INDIRECT(ADDRESS(K37*2+2,3)))</f>
        <v>Комаров Александр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Комаров Александр</v>
      </c>
      <c r="D40" s="75"/>
      <c r="E40" s="76"/>
      <c r="F40" s="26">
        <v>13</v>
      </c>
      <c r="G40" s="27">
        <v>11</v>
      </c>
      <c r="H40" s="77" t="str">
        <f ca="1">IF(ISBLANK(INDIRECT(ADDRESS(K40*2+2,3))),"",INDIRECT(ADDRESS(K40*2+2,3)))</f>
        <v>Ницинский Станислав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Ли Александр</v>
      </c>
      <c r="D41" s="75"/>
      <c r="E41" s="76"/>
      <c r="F41" s="26">
        <v>13</v>
      </c>
      <c r="G41" s="27">
        <v>9</v>
      </c>
      <c r="H41" s="77" t="str">
        <f ca="1">IF(ISBLANK(INDIRECT(ADDRESS(K41*2+2,3))),"",INDIRECT(ADDRESS(K41*2+2,3)))</f>
        <v>Бердыев Борис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Петрушко Алексей</v>
      </c>
      <c r="D42" s="75"/>
      <c r="E42" s="76"/>
      <c r="F42" s="26">
        <v>11</v>
      </c>
      <c r="G42" s="27">
        <v>13</v>
      </c>
      <c r="H42" s="77" t="str">
        <f ca="1">IF(ISBLANK(INDIRECT(ADDRESS(K42*2+2,3))),"",INDIRECT(ADDRESS(K42*2+2,3)))</f>
        <v>Ялынский Леонид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P11" sqref="P11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25">
      <c r="B1" s="97" t="s">
        <v>127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4" ht="15.75" thickBot="1" x14ac:dyDescent="0.3">
      <c r="M2"/>
    </row>
    <row r="3" spans="1:14" ht="30" customHeight="1" thickBot="1" x14ac:dyDescent="0.3">
      <c r="B3" s="4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2" t="s">
        <v>135</v>
      </c>
      <c r="D4" s="103"/>
      <c r="E4" s="104"/>
      <c r="F4" s="8" t="s">
        <v>4</v>
      </c>
      <c r="G4" s="9" t="str">
        <f ca="1">INDIRECT(ADDRESS(27,6))&amp;":"&amp;INDIRECT(ADDRESS(27,7))</f>
        <v>6:13</v>
      </c>
      <c r="H4" s="9" t="str">
        <f ca="1">INDIRECT(ADDRESS(31,7))&amp;":"&amp;INDIRECT(ADDRESS(31,6))</f>
        <v>9:11</v>
      </c>
      <c r="I4" s="9" t="str">
        <f ca="1">INDIRECT(ADDRESS(36,6))&amp;":"&amp;INDIRECT(ADDRESS(36,7))</f>
        <v>13:12</v>
      </c>
      <c r="J4" s="9" t="str">
        <f ca="1">INDIRECT(ADDRESS(42,7))&amp;":"&amp;INDIRECT(ADDRESS(42,6))</f>
        <v>12:13</v>
      </c>
      <c r="K4" s="10" t="str">
        <f ca="1">INDIRECT(ADDRESS(20,6))&amp;":"&amp;INDIRECT(ADDRESS(20,7))</f>
        <v>13:4</v>
      </c>
      <c r="L4" s="105">
        <f ca="1">IF(COUNT(F5:K5)=0,"",COUNTIF(F5:K5,"&gt;0")+0.5*COUNTIF(F5:K5,0))</f>
        <v>2</v>
      </c>
      <c r="M4" s="11" t="s">
        <v>141</v>
      </c>
      <c r="N4" s="96">
        <v>4</v>
      </c>
    </row>
    <row r="5" spans="1:14" ht="24" customHeight="1" x14ac:dyDescent="0.25">
      <c r="A5" s="6"/>
      <c r="B5" s="91"/>
      <c r="C5" s="81"/>
      <c r="D5" s="82"/>
      <c r="E5" s="83"/>
      <c r="F5" s="12" t="s">
        <v>4</v>
      </c>
      <c r="G5" s="13">
        <f ca="1">IF(LEN(INDIRECT(ADDRESS(ROW()-1, COLUMN())))=1,"",INDIRECT(ADDRESS(27,6))-INDIRECT(ADDRESS(27,7)))</f>
        <v>-7</v>
      </c>
      <c r="H5" s="13">
        <f ca="1">IF(LEN(INDIRECT(ADDRESS(ROW()-1, COLUMN())))=1,"",INDIRECT(ADDRESS(31,7))-INDIRECT(ADDRESS(31,6)))</f>
        <v>-2</v>
      </c>
      <c r="I5" s="13">
        <f ca="1">IF(LEN(INDIRECT(ADDRESS(ROW()-1, COLUMN())))=1,"",INDIRECT(ADDRESS(36,6))-INDIRECT(ADDRESS(36,7)))</f>
        <v>1</v>
      </c>
      <c r="J5" s="13">
        <f ca="1">IF(LEN(INDIRECT(ADDRESS(ROW()-1, COLUMN())))=1,"",INDIRECT(ADDRESS(42,7))-INDIRECT(ADDRESS(42,6)))</f>
        <v>-1</v>
      </c>
      <c r="K5" s="14">
        <f ca="1">IF(LEN(INDIRECT(ADDRESS(ROW()-1, COLUMN())))=1,"",INDIRECT(ADDRESS(20,6))-INDIRECT(ADDRESS(20,7)))</f>
        <v>9</v>
      </c>
      <c r="L5" s="87"/>
      <c r="M5" s="13">
        <f ca="1">IF(COUNT(F5:K5)=0,"",SUM(F5:K5))</f>
        <v>0</v>
      </c>
      <c r="N5" s="92"/>
    </row>
    <row r="6" spans="1:14" ht="24" customHeight="1" x14ac:dyDescent="0.25">
      <c r="A6" s="6"/>
      <c r="B6" s="79">
        <v>2</v>
      </c>
      <c r="C6" s="93" t="s">
        <v>136</v>
      </c>
      <c r="D6" s="94"/>
      <c r="E6" s="95"/>
      <c r="F6" s="15" t="str">
        <f ca="1">INDIRECT(ADDRESS(27,7))&amp;":"&amp;INDIRECT(ADDRESS(27,6))</f>
        <v>13:6</v>
      </c>
      <c r="G6" s="16" t="s">
        <v>4</v>
      </c>
      <c r="H6" s="17" t="str">
        <f ca="1">INDIRECT(ADDRESS(37,6))&amp;":"&amp;INDIRECT(ADDRESS(37,7))</f>
        <v>1:13</v>
      </c>
      <c r="I6" s="17" t="str">
        <f ca="1">INDIRECT(ADDRESS(41,7))&amp;":"&amp;INDIRECT(ADDRESS(41,6))</f>
        <v>13:5</v>
      </c>
      <c r="J6" s="17" t="str">
        <f ca="1">INDIRECT(ADDRESS(21,6))&amp;":"&amp;INDIRECT(ADDRESS(21,7))</f>
        <v>13:3</v>
      </c>
      <c r="K6" s="18" t="str">
        <f ca="1">INDIRECT(ADDRESS(30,6))&amp;":"&amp;INDIRECT(ADDRESS(30,7))</f>
        <v>1:13</v>
      </c>
      <c r="L6" s="87">
        <f ca="1">IF(COUNT(F7:K7)=0,"",COUNTIF(F7:K7,"&gt;0")+0.5*COUNTIF(F7:K7,0))</f>
        <v>3</v>
      </c>
      <c r="M6" s="13"/>
      <c r="N6" s="89">
        <v>2</v>
      </c>
    </row>
    <row r="7" spans="1:14" ht="24" customHeight="1" x14ac:dyDescent="0.25">
      <c r="A7" s="6"/>
      <c r="B7" s="91"/>
      <c r="C7" s="93"/>
      <c r="D7" s="94"/>
      <c r="E7" s="95"/>
      <c r="F7" s="19">
        <f ca="1">IF(LEN(INDIRECT(ADDRESS(ROW()-1, COLUMN())))=1,"",INDIRECT(ADDRESS(27,7))-INDIRECT(ADDRESS(27,6)))</f>
        <v>7</v>
      </c>
      <c r="G7" s="20" t="s">
        <v>4</v>
      </c>
      <c r="H7" s="13">
        <f ca="1">IF(LEN(INDIRECT(ADDRESS(ROW()-1, COLUMN())))=1,"",INDIRECT(ADDRESS(37,6))-INDIRECT(ADDRESS(37,7)))</f>
        <v>-12</v>
      </c>
      <c r="I7" s="13">
        <f ca="1">IF(LEN(INDIRECT(ADDRESS(ROW()-1, COLUMN())))=1,"",INDIRECT(ADDRESS(41,7))-INDIRECT(ADDRESS(41,6)))</f>
        <v>8</v>
      </c>
      <c r="J7" s="13">
        <f ca="1">IF(LEN(INDIRECT(ADDRESS(ROW()-1, COLUMN())))=1,"",INDIRECT(ADDRESS(21,6))-INDIRECT(ADDRESS(21,7)))</f>
        <v>10</v>
      </c>
      <c r="K7" s="14">
        <f ca="1">IF(LEN(INDIRECT(ADDRESS(ROW()-1, COLUMN())))=1,"",INDIRECT(ADDRESS(30,6))-INDIRECT(ADDRESS(30,7)))</f>
        <v>-12</v>
      </c>
      <c r="L7" s="87"/>
      <c r="M7" s="13">
        <f ca="1">IF(COUNT(F7:K7)=0,"",SUM(F7:K7))</f>
        <v>1</v>
      </c>
      <c r="N7" s="92"/>
    </row>
    <row r="8" spans="1:14" ht="24" customHeight="1" x14ac:dyDescent="0.25">
      <c r="A8" s="6"/>
      <c r="B8" s="79">
        <v>3</v>
      </c>
      <c r="C8" s="93" t="s">
        <v>137</v>
      </c>
      <c r="D8" s="94"/>
      <c r="E8" s="95"/>
      <c r="F8" s="15" t="str">
        <f ca="1">INDIRECT(ADDRESS(31,6))&amp;":"&amp;INDIRECT(ADDRESS(31,7))</f>
        <v>11:9</v>
      </c>
      <c r="G8" s="17" t="str">
        <f ca="1">INDIRECT(ADDRESS(37,7))&amp;":"&amp;INDIRECT(ADDRESS(37,6))</f>
        <v>13:1</v>
      </c>
      <c r="H8" s="16" t="s">
        <v>4</v>
      </c>
      <c r="I8" s="17" t="str">
        <f ca="1">INDIRECT(ADDRESS(22,6))&amp;":"&amp;INDIRECT(ADDRESS(22,7))</f>
        <v>13:6</v>
      </c>
      <c r="J8" s="17" t="str">
        <f ca="1">INDIRECT(ADDRESS(26,7))&amp;":"&amp;INDIRECT(ADDRESS(26,6))</f>
        <v>13:10</v>
      </c>
      <c r="K8" s="18" t="str">
        <f ca="1">INDIRECT(ADDRESS(40,6))&amp;":"&amp;INDIRECT(ADDRESS(40,7))</f>
        <v>13:11</v>
      </c>
      <c r="L8" s="87">
        <f ca="1">IF(COUNT(F9:K9)=0,"",COUNTIF(F9:K9,"&gt;0")+0.5*COUNTIF(F9:K9,0))</f>
        <v>5</v>
      </c>
      <c r="M8" s="13"/>
      <c r="N8" s="89">
        <v>1</v>
      </c>
    </row>
    <row r="9" spans="1:14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COLUMN())))=1,"",INDIRECT(ADDRESS(31,6))-INDIRECT(ADDRESS(31,7)))</f>
        <v>2</v>
      </c>
      <c r="G9" s="13">
        <f ca="1">IF(LEN(INDIRECT(ADDRESS(ROW()-1, COLUMN())))=1,"",INDIRECT(ADDRESS(37,7))-INDIRECT(ADDRESS(37,6)))</f>
        <v>12</v>
      </c>
      <c r="H9" s="20" t="s">
        <v>4</v>
      </c>
      <c r="I9" s="13">
        <f ca="1">IF(LEN(INDIRECT(ADDRESS(ROW()-1, COLUMN())))=1,"",INDIRECT(ADDRESS(22,6))-INDIRECT(ADDRESS(22,7)))</f>
        <v>7</v>
      </c>
      <c r="J9" s="13">
        <f ca="1">IF(LEN(INDIRECT(ADDRESS(ROW()-1, COLUMN())))=1,"",INDIRECT(ADDRESS(26,7))-INDIRECT(ADDRESS(26,6)))</f>
        <v>3</v>
      </c>
      <c r="K9" s="14">
        <f ca="1">IF(LEN(INDIRECT(ADDRESS(ROW()-1, COLUMN())))=1,"",INDIRECT(ADDRESS(40,6))-INDIRECT(ADDRESS(40,7)))</f>
        <v>2</v>
      </c>
      <c r="L9" s="87"/>
      <c r="M9" s="13">
        <f ca="1">IF(COUNT(F9:K9)=0,"",SUM(F9:K9))</f>
        <v>26</v>
      </c>
      <c r="N9" s="92"/>
    </row>
    <row r="10" spans="1:14" ht="24" customHeight="1" x14ac:dyDescent="0.25">
      <c r="A10" s="6"/>
      <c r="B10" s="79">
        <v>4</v>
      </c>
      <c r="C10" s="81" t="s">
        <v>138</v>
      </c>
      <c r="D10" s="82"/>
      <c r="E10" s="83"/>
      <c r="F10" s="15" t="str">
        <f ca="1">INDIRECT(ADDRESS(36,7))&amp;":"&amp;INDIRECT(ADDRESS(36,6))</f>
        <v>12:13</v>
      </c>
      <c r="G10" s="17" t="str">
        <f ca="1">INDIRECT(ADDRESS(41,6))&amp;":"&amp;INDIRECT(ADDRESS(41,7))</f>
        <v>5:13</v>
      </c>
      <c r="H10" s="17" t="str">
        <f ca="1">INDIRECT(ADDRESS(22,7))&amp;":"&amp;INDIRECT(ADDRESS(22,6))</f>
        <v>6:13</v>
      </c>
      <c r="I10" s="16" t="s">
        <v>4</v>
      </c>
      <c r="J10" s="17" t="str">
        <f ca="1">INDIRECT(ADDRESS(32,6))&amp;":"&amp;INDIRECT(ADDRESS(32,7))</f>
        <v>13:11</v>
      </c>
      <c r="K10" s="18" t="str">
        <f ca="1">INDIRECT(ADDRESS(25,7))&amp;":"&amp;INDIRECT(ADDRESS(25,6))</f>
        <v>8:13</v>
      </c>
      <c r="L10" s="87">
        <f ca="1">IF(COUNT(F11:K11)=0,"",COUNTIF(F11:K11,"&gt;0")+0.5*COUNTIF(F11:K11,0))</f>
        <v>1</v>
      </c>
      <c r="M10" s="13"/>
      <c r="N10" s="89">
        <v>6</v>
      </c>
    </row>
    <row r="11" spans="1:14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COLUMN())))=1,"",INDIRECT(ADDRESS(36,7))-INDIRECT(ADDRESS(36,6)))</f>
        <v>-1</v>
      </c>
      <c r="G11" s="13">
        <f ca="1">IF(LEN(INDIRECT(ADDRESS(ROW()-1, COLUMN())))=1,"",INDIRECT(ADDRESS(41,6))-INDIRECT(ADDRESS(41,7)))</f>
        <v>-8</v>
      </c>
      <c r="H11" s="13">
        <f ca="1">IF(LEN(INDIRECT(ADDRESS(ROW()-1, COLUMN())))=1,"",INDIRECT(ADDRESS(22,7))-INDIRECT(ADDRESS(22,6)))</f>
        <v>-7</v>
      </c>
      <c r="I11" s="20" t="s">
        <v>4</v>
      </c>
      <c r="J11" s="13">
        <f ca="1">IF(LEN(INDIRECT(ADDRESS(ROW()-1, COLUMN())))=1,"",INDIRECT(ADDRESS(32,6))-INDIRECT(ADDRESS(32,7)))</f>
        <v>2</v>
      </c>
      <c r="K11" s="14">
        <f ca="1">IF(LEN(INDIRECT(ADDRESS(ROW()-1, COLUMN())))=1,"",INDIRECT(ADDRESS(25,7))-INDIRECT(ADDRESS(25,6)))</f>
        <v>-5</v>
      </c>
      <c r="L11" s="87"/>
      <c r="M11" s="13">
        <f ca="1">IF(COUNT(F11:K11)=0,"",SUM(F11:K11))</f>
        <v>-19</v>
      </c>
      <c r="N11" s="92"/>
    </row>
    <row r="12" spans="1:14" ht="24" customHeight="1" x14ac:dyDescent="0.25">
      <c r="A12" s="6"/>
      <c r="B12" s="79">
        <v>5</v>
      </c>
      <c r="C12" s="81" t="s">
        <v>139</v>
      </c>
      <c r="D12" s="82"/>
      <c r="E12" s="83"/>
      <c r="F12" s="15" t="str">
        <f ca="1">INDIRECT(ADDRESS(42,6))&amp;":"&amp;INDIRECT(ADDRESS(42,7))</f>
        <v>13:12</v>
      </c>
      <c r="G12" s="17" t="str">
        <f ca="1">INDIRECT(ADDRESS(21,7))&amp;":"&amp;INDIRECT(ADDRESS(21,6))</f>
        <v>3:13</v>
      </c>
      <c r="H12" s="17" t="str">
        <f ca="1">INDIRECT(ADDRESS(26,6))&amp;":"&amp;INDIRECT(ADDRESS(26,7))</f>
        <v>10:13</v>
      </c>
      <c r="I12" s="17" t="str">
        <f ca="1">INDIRECT(ADDRESS(32,7))&amp;":"&amp;INDIRECT(ADDRESS(32,6))</f>
        <v>11:13</v>
      </c>
      <c r="J12" s="16" t="s">
        <v>4</v>
      </c>
      <c r="K12" s="18" t="str">
        <f ca="1">INDIRECT(ADDRESS(35,7))&amp;":"&amp;INDIRECT(ADDRESS(35,6))</f>
        <v>13:11</v>
      </c>
      <c r="L12" s="87">
        <f ca="1">IF(COUNT(F13:K13)=0,"",COUNTIF(F13:K13,"&gt;0")+0.5*COUNTIF(F13:K13,0))</f>
        <v>2</v>
      </c>
      <c r="M12" s="13" t="s">
        <v>143</v>
      </c>
      <c r="N12" s="89">
        <v>3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1</v>
      </c>
      <c r="G13" s="13">
        <f ca="1">IF(LEN(INDIRECT(ADDRESS(ROW()-1, COLUMN())))=1,"",INDIRECT(ADDRESS(21,7))-INDIRECT(ADDRESS(21,6)))</f>
        <v>-10</v>
      </c>
      <c r="H13" s="13">
        <f ca="1">IF(LEN(INDIRECT(ADDRESS(ROW()-1, COLUMN())))=1,"",INDIRECT(ADDRESS(26,6))-INDIRECT(ADDRESS(26,7)))</f>
        <v>-3</v>
      </c>
      <c r="I13" s="13">
        <f ca="1">IF(LEN(INDIRECT(ADDRESS(ROW()-1, COLUMN())))=1,"",INDIRECT(ADDRESS(32,7))-INDIRECT(ADDRESS(32,6)))</f>
        <v>-2</v>
      </c>
      <c r="J13" s="20" t="s">
        <v>4</v>
      </c>
      <c r="K13" s="14">
        <f ca="1">IF(LEN(INDIRECT(ADDRESS(ROW()-1, COLUMN())))=1,"",INDIRECT(ADDRESS(35,7))-INDIRECT(ADDRESS(35,6)))</f>
        <v>2</v>
      </c>
      <c r="L13" s="87"/>
      <c r="M13" s="13">
        <f ca="1">IF(COUNT(F13:K13)=0,"",SUM(F13:K13))</f>
        <v>-12</v>
      </c>
      <c r="N13" s="92"/>
    </row>
    <row r="14" spans="1:14" ht="24" customHeight="1" x14ac:dyDescent="0.25">
      <c r="A14" s="6"/>
      <c r="B14" s="79">
        <v>6</v>
      </c>
      <c r="C14" s="81" t="s">
        <v>140</v>
      </c>
      <c r="D14" s="82"/>
      <c r="E14" s="83"/>
      <c r="F14" s="15" t="str">
        <f ca="1">INDIRECT(ADDRESS(20,7))&amp;":"&amp;INDIRECT(ADDRESS(20,6))</f>
        <v>4:13</v>
      </c>
      <c r="G14" s="17" t="str">
        <f ca="1">INDIRECT(ADDRESS(30,7))&amp;":"&amp;INDIRECT(ADDRESS(30,6))</f>
        <v>13:1</v>
      </c>
      <c r="H14" s="17" t="str">
        <f ca="1">INDIRECT(ADDRESS(40,7))&amp;":"&amp;INDIRECT(ADDRESS(40,6))</f>
        <v>11:13</v>
      </c>
      <c r="I14" s="17" t="str">
        <f ca="1">INDIRECT(ADDRESS(25,6))&amp;":"&amp;INDIRECT(ADDRESS(25,7))</f>
        <v>13:8</v>
      </c>
      <c r="J14" s="17" t="str">
        <f ca="1">INDIRECT(ADDRESS(35,6))&amp;":"&amp;INDIRECT(ADDRESS(35,7))</f>
        <v>11:13</v>
      </c>
      <c r="K14" s="21" t="s">
        <v>4</v>
      </c>
      <c r="L14" s="87">
        <f ca="1">IF(COUNT(F15:K15)=0,"",COUNTIF(F15:K15,"&gt;0")+0.5*COUNTIF(F15:K15,0))</f>
        <v>2</v>
      </c>
      <c r="M14" s="13" t="s">
        <v>142</v>
      </c>
      <c r="N14" s="89">
        <v>5</v>
      </c>
    </row>
    <row r="15" spans="1:14" ht="24" customHeight="1" thickBot="1" x14ac:dyDescent="0.3">
      <c r="A15" s="6"/>
      <c r="B15" s="80"/>
      <c r="C15" s="84"/>
      <c r="D15" s="85"/>
      <c r="E15" s="86"/>
      <c r="F15" s="22">
        <f ca="1">IF(LEN(INDIRECT(ADDRESS(ROW()-1, COLUMN())))=1,"",INDIRECT(ADDRESS(20,7))-INDIRECT(ADDRESS(20,6)))</f>
        <v>-9</v>
      </c>
      <c r="G15" s="23">
        <f ca="1">IF(LEN(INDIRECT(ADDRESS(ROW()-1, COLUMN())))=1,"",INDIRECT(ADDRESS(30,7))-INDIRECT(ADDRESS(30,6)))</f>
        <v>12</v>
      </c>
      <c r="H15" s="23">
        <f ca="1">IF(LEN(INDIRECT(ADDRESS(ROW()-1, COLUMN())))=1,"",INDIRECT(ADDRESS(40,7))-INDIRECT(ADDRESS(40,6)))</f>
        <v>-2</v>
      </c>
      <c r="I15" s="23">
        <f ca="1">IF(LEN(INDIRECT(ADDRESS(ROW()-1, COLUMN())))=1,"",INDIRECT(ADDRESS(25,6))-INDIRECT(ADDRESS(25,7)))</f>
        <v>5</v>
      </c>
      <c r="J15" s="23">
        <f ca="1">IF(LEN(INDIRECT(ADDRESS(ROW()-1, COLUMN())))=1,"",INDIRECT(ADDRESS(35,6))-INDIRECT(ADDRESS(35,7)))</f>
        <v>-2</v>
      </c>
      <c r="K15" s="24" t="s">
        <v>4</v>
      </c>
      <c r="L15" s="88"/>
      <c r="M15" s="23">
        <f ca="1">IF(COUNT(F15:K15)=0,"",SUM(F15:K15))</f>
        <v>4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Костин Игорь</v>
      </c>
      <c r="D20" s="75"/>
      <c r="E20" s="76"/>
      <c r="F20" s="26">
        <v>13</v>
      </c>
      <c r="G20" s="27">
        <v>4</v>
      </c>
      <c r="H20" s="77" t="str">
        <f ca="1">IF(ISBLANK(INDIRECT(ADDRESS(K20*2+2,3))),"",INDIRECT(ADDRESS(K20*2+2,3)))</f>
        <v>Канзари Ваэль</v>
      </c>
      <c r="I20" s="75"/>
      <c r="J20" s="75"/>
      <c r="K20" s="25">
        <v>6</v>
      </c>
      <c r="L20" s="28" t="s">
        <v>6</v>
      </c>
      <c r="M20" s="29">
        <v>4</v>
      </c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Борисов Александр</v>
      </c>
      <c r="D21" s="75"/>
      <c r="E21" s="76"/>
      <c r="F21" s="26">
        <v>13</v>
      </c>
      <c r="G21" s="27">
        <v>3</v>
      </c>
      <c r="H21" s="77" t="str">
        <f ca="1">IF(ISBLANK(INDIRECT(ADDRESS(K21*2+2,3))),"",INDIRECT(ADDRESS(K21*2+2,3)))</f>
        <v>Бондарь Андрей</v>
      </c>
      <c r="I21" s="75"/>
      <c r="J21" s="75"/>
      <c r="K21" s="25">
        <v>5</v>
      </c>
      <c r="L21" s="28" t="s">
        <v>6</v>
      </c>
      <c r="M21" s="29">
        <v>5</v>
      </c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Тихонов Дмитрий</v>
      </c>
      <c r="D22" s="75"/>
      <c r="E22" s="76"/>
      <c r="F22" s="26">
        <v>13</v>
      </c>
      <c r="G22" s="27">
        <v>6</v>
      </c>
      <c r="H22" s="77" t="str">
        <f ca="1">IF(ISBLANK(INDIRECT(ADDRESS(K22*2+2,3))),"",INDIRECT(ADDRESS(K22*2+2,3)))</f>
        <v>Овчинников Тимофей</v>
      </c>
      <c r="I22" s="75"/>
      <c r="J22" s="75"/>
      <c r="K22" s="25">
        <v>4</v>
      </c>
      <c r="L22" s="28" t="s">
        <v>6</v>
      </c>
      <c r="M22" s="29">
        <v>6</v>
      </c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Канзари Ваэль</v>
      </c>
      <c r="D25" s="75"/>
      <c r="E25" s="76"/>
      <c r="F25" s="26">
        <v>13</v>
      </c>
      <c r="G25" s="27">
        <v>8</v>
      </c>
      <c r="H25" s="77" t="str">
        <f ca="1">IF(ISBLANK(INDIRECT(ADDRESS(K25*2+2,3))),"",INDIRECT(ADDRESS(K25*2+2,3)))</f>
        <v>Овчинников Тимофей</v>
      </c>
      <c r="I25" s="75"/>
      <c r="J25" s="75"/>
      <c r="K25" s="25">
        <v>4</v>
      </c>
      <c r="L25" s="28" t="s">
        <v>6</v>
      </c>
      <c r="M25" s="29">
        <v>1</v>
      </c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Бондарь Андрей</v>
      </c>
      <c r="D26" s="75"/>
      <c r="E26" s="76"/>
      <c r="F26" s="26">
        <v>10</v>
      </c>
      <c r="G26" s="27">
        <v>13</v>
      </c>
      <c r="H26" s="77" t="str">
        <f ca="1">IF(ISBLANK(INDIRECT(ADDRESS(K26*2+2,3))),"",INDIRECT(ADDRESS(K26*2+2,3)))</f>
        <v>Тихонов Дмитрий</v>
      </c>
      <c r="I26" s="75"/>
      <c r="J26" s="75"/>
      <c r="K26" s="25">
        <v>3</v>
      </c>
      <c r="L26" s="28" t="s">
        <v>6</v>
      </c>
      <c r="M26" s="29">
        <v>2</v>
      </c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Костин Игорь</v>
      </c>
      <c r="D27" s="75"/>
      <c r="E27" s="76"/>
      <c r="F27" s="26">
        <v>6</v>
      </c>
      <c r="G27" s="27">
        <v>13</v>
      </c>
      <c r="H27" s="77" t="str">
        <f ca="1">IF(ISBLANK(INDIRECT(ADDRESS(K27*2+2,3))),"",INDIRECT(ADDRESS(K27*2+2,3)))</f>
        <v>Борисов Александр</v>
      </c>
      <c r="I27" s="75"/>
      <c r="J27" s="75"/>
      <c r="K27" s="25">
        <v>2</v>
      </c>
      <c r="L27" s="28" t="s">
        <v>6</v>
      </c>
      <c r="M27" s="29">
        <v>3</v>
      </c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Борисов Александр</v>
      </c>
      <c r="D30" s="75"/>
      <c r="E30" s="76"/>
      <c r="F30" s="26">
        <v>1</v>
      </c>
      <c r="G30" s="27">
        <v>13</v>
      </c>
      <c r="H30" s="77" t="str">
        <f ca="1">IF(ISBLANK(INDIRECT(ADDRESS(K30*2+2,3))),"",INDIRECT(ADDRESS(K30*2+2,3)))</f>
        <v>Канзари Ваэль</v>
      </c>
      <c r="I30" s="75"/>
      <c r="J30" s="75"/>
      <c r="K30" s="25">
        <v>6</v>
      </c>
      <c r="L30" s="28" t="s">
        <v>6</v>
      </c>
      <c r="M30" s="29">
        <v>6</v>
      </c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Тихонов Дмитрий</v>
      </c>
      <c r="D31" s="75"/>
      <c r="E31" s="76"/>
      <c r="F31" s="26">
        <v>11</v>
      </c>
      <c r="G31" s="27">
        <v>9</v>
      </c>
      <c r="H31" s="77" t="str">
        <f ca="1">IF(ISBLANK(INDIRECT(ADDRESS(K31*2+2,3))),"",INDIRECT(ADDRESS(K31*2+2,3)))</f>
        <v>Костин Игорь</v>
      </c>
      <c r="I31" s="75"/>
      <c r="J31" s="75"/>
      <c r="K31" s="25">
        <v>1</v>
      </c>
      <c r="L31" s="28" t="s">
        <v>6</v>
      </c>
      <c r="M31" s="29">
        <v>5</v>
      </c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Овчинников Тимофей</v>
      </c>
      <c r="D32" s="75"/>
      <c r="E32" s="76"/>
      <c r="F32" s="26">
        <v>13</v>
      </c>
      <c r="G32" s="27">
        <v>11</v>
      </c>
      <c r="H32" s="77" t="str">
        <f ca="1">IF(ISBLANK(INDIRECT(ADDRESS(K32*2+2,3))),"",INDIRECT(ADDRESS(K32*2+2,3)))</f>
        <v>Бондарь Андрей</v>
      </c>
      <c r="I32" s="75"/>
      <c r="J32" s="75"/>
      <c r="K32" s="25">
        <v>5</v>
      </c>
      <c r="L32" s="28" t="s">
        <v>6</v>
      </c>
      <c r="M32" s="29">
        <v>4</v>
      </c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Канзари Ваэль</v>
      </c>
      <c r="D35" s="75"/>
      <c r="E35" s="76"/>
      <c r="F35" s="26">
        <v>11</v>
      </c>
      <c r="G35" s="27">
        <v>13</v>
      </c>
      <c r="H35" s="77" t="str">
        <f ca="1">IF(ISBLANK(INDIRECT(ADDRESS(K35*2+2,3))),"",INDIRECT(ADDRESS(K35*2+2,3)))</f>
        <v>Бондарь Андрей</v>
      </c>
      <c r="I35" s="75"/>
      <c r="J35" s="75"/>
      <c r="K35" s="25">
        <v>5</v>
      </c>
      <c r="L35" s="28" t="s">
        <v>6</v>
      </c>
      <c r="M35" s="29">
        <v>3</v>
      </c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Костин Игорь</v>
      </c>
      <c r="D36" s="75"/>
      <c r="E36" s="76"/>
      <c r="F36" s="26">
        <v>13</v>
      </c>
      <c r="G36" s="27">
        <v>12</v>
      </c>
      <c r="H36" s="77" t="str">
        <f ca="1">IF(ISBLANK(INDIRECT(ADDRESS(K36*2+2,3))),"",INDIRECT(ADDRESS(K36*2+2,3)))</f>
        <v>Овчинников Тимофей</v>
      </c>
      <c r="I36" s="75"/>
      <c r="J36" s="75"/>
      <c r="K36" s="25">
        <v>4</v>
      </c>
      <c r="L36" s="28" t="s">
        <v>6</v>
      </c>
      <c r="M36" s="29">
        <v>2</v>
      </c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Борисов Александр</v>
      </c>
      <c r="D37" s="75"/>
      <c r="E37" s="76"/>
      <c r="F37" s="26">
        <v>1</v>
      </c>
      <c r="G37" s="27">
        <v>13</v>
      </c>
      <c r="H37" s="77" t="str">
        <f ca="1">IF(ISBLANK(INDIRECT(ADDRESS(K37*2+2,3))),"",INDIRECT(ADDRESS(K37*2+2,3)))</f>
        <v>Тихонов Дмитрий</v>
      </c>
      <c r="I37" s="75"/>
      <c r="J37" s="75"/>
      <c r="K37" s="25">
        <v>3</v>
      </c>
      <c r="L37" s="28" t="s">
        <v>6</v>
      </c>
      <c r="M37" s="29">
        <v>1</v>
      </c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Тихонов Дмитрий</v>
      </c>
      <c r="D40" s="75"/>
      <c r="E40" s="76"/>
      <c r="F40" s="26">
        <v>13</v>
      </c>
      <c r="G40" s="27">
        <v>11</v>
      </c>
      <c r="H40" s="77" t="str">
        <f ca="1">IF(ISBLANK(INDIRECT(ADDRESS(K40*2+2,3))),"",INDIRECT(ADDRESS(K40*2+2,3)))</f>
        <v>Канзари Ваэль</v>
      </c>
      <c r="I40" s="75"/>
      <c r="J40" s="75"/>
      <c r="K40" s="25">
        <v>6</v>
      </c>
      <c r="L40" s="28" t="s">
        <v>6</v>
      </c>
      <c r="M40" s="29">
        <v>4</v>
      </c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Овчинников Тимофей</v>
      </c>
      <c r="D41" s="75"/>
      <c r="E41" s="76"/>
      <c r="F41" s="26">
        <v>5</v>
      </c>
      <c r="G41" s="27">
        <v>13</v>
      </c>
      <c r="H41" s="77" t="str">
        <f ca="1">IF(ISBLANK(INDIRECT(ADDRESS(K41*2+2,3))),"",INDIRECT(ADDRESS(K41*2+2,3)))</f>
        <v>Борисов Александр</v>
      </c>
      <c r="I41" s="75"/>
      <c r="J41" s="75"/>
      <c r="K41" s="25">
        <v>2</v>
      </c>
      <c r="L41" s="28" t="s">
        <v>6</v>
      </c>
      <c r="M41" s="29">
        <v>5</v>
      </c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Бондарь Андрей</v>
      </c>
      <c r="D42" s="75"/>
      <c r="E42" s="76"/>
      <c r="F42" s="26">
        <v>13</v>
      </c>
      <c r="G42" s="27">
        <v>12</v>
      </c>
      <c r="H42" s="77" t="str">
        <f ca="1">IF(ISBLANK(INDIRECT(ADDRESS(K42*2+2,3))),"",INDIRECT(ADDRESS(K42*2+2,3)))</f>
        <v>Костин Игорь</v>
      </c>
      <c r="I42" s="75"/>
      <c r="J42" s="75"/>
      <c r="K42" s="25">
        <v>1</v>
      </c>
      <c r="L42" s="28" t="s">
        <v>6</v>
      </c>
      <c r="M42" s="29">
        <v>6</v>
      </c>
    </row>
    <row r="43" spans="2:13" x14ac:dyDescent="0.25">
      <c r="K43" s="31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P9" sqref="P9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25">
      <c r="B1" s="97" t="s">
        <v>129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4" ht="15.75" thickBot="1" x14ac:dyDescent="0.3">
      <c r="M2"/>
    </row>
    <row r="3" spans="1:14" ht="30" customHeight="1" thickBot="1" x14ac:dyDescent="0.3">
      <c r="B3" s="4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9" t="s">
        <v>144</v>
      </c>
      <c r="D4" s="110"/>
      <c r="E4" s="111"/>
      <c r="F4" s="8" t="s">
        <v>4</v>
      </c>
      <c r="G4" s="9" t="str">
        <f ca="1">INDIRECT(ADDRESS(27,6))&amp;":"&amp;INDIRECT(ADDRESS(27,7))</f>
        <v>9:13</v>
      </c>
      <c r="H4" s="9" t="str">
        <f ca="1">INDIRECT(ADDRESS(31,7))&amp;":"&amp;INDIRECT(ADDRESS(31,6))</f>
        <v>13:7</v>
      </c>
      <c r="I4" s="9" t="str">
        <f ca="1">INDIRECT(ADDRESS(36,6))&amp;":"&amp;INDIRECT(ADDRESS(36,7))</f>
        <v>13:10</v>
      </c>
      <c r="J4" s="9" t="str">
        <f ca="1">INDIRECT(ADDRESS(42,7))&amp;":"&amp;INDIRECT(ADDRESS(42,6))</f>
        <v>13:9</v>
      </c>
      <c r="K4" s="10" t="str">
        <f ca="1">INDIRECT(ADDRESS(20,6))&amp;":"&amp;INDIRECT(ADDRESS(20,7))</f>
        <v>13:3</v>
      </c>
      <c r="L4" s="105">
        <f ca="1">IF(COUNT(F5:K5)=0,"",COUNTIF(F5:K5,"&gt;0")+0.5*COUNTIF(F5:K5,0))</f>
        <v>4</v>
      </c>
      <c r="M4" s="11"/>
      <c r="N4" s="96">
        <v>1</v>
      </c>
    </row>
    <row r="5" spans="1:14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COLUMN())))=1,"",INDIRECT(ADDRESS(27,6))-INDIRECT(ADDRESS(27,7)))</f>
        <v>-4</v>
      </c>
      <c r="H5" s="13">
        <f ca="1">IF(LEN(INDIRECT(ADDRESS(ROW()-1, COLUMN())))=1,"",INDIRECT(ADDRESS(31,7))-INDIRECT(ADDRESS(31,6)))</f>
        <v>6</v>
      </c>
      <c r="I5" s="13">
        <f ca="1">IF(LEN(INDIRECT(ADDRESS(ROW()-1, COLUMN())))=1,"",INDIRECT(ADDRESS(36,6))-INDIRECT(ADDRESS(36,7)))</f>
        <v>3</v>
      </c>
      <c r="J5" s="13">
        <f ca="1">IF(LEN(INDIRECT(ADDRESS(ROW()-1, COLUMN())))=1,"",INDIRECT(ADDRESS(42,7))-INDIRECT(ADDRESS(42,6)))</f>
        <v>4</v>
      </c>
      <c r="K5" s="14">
        <f ca="1">IF(LEN(INDIRECT(ADDRESS(ROW()-1, COLUMN())))=1,"",INDIRECT(ADDRESS(20,6))-INDIRECT(ADDRESS(20,7)))</f>
        <v>10</v>
      </c>
      <c r="L5" s="87"/>
      <c r="M5" s="13">
        <f ca="1">IF(COUNT(F5:K5)=0,"",SUM(F5:K5))</f>
        <v>19</v>
      </c>
      <c r="N5" s="92"/>
    </row>
    <row r="6" spans="1:14" ht="24" customHeight="1" x14ac:dyDescent="0.25">
      <c r="A6" s="6"/>
      <c r="B6" s="79">
        <v>2</v>
      </c>
      <c r="C6" s="81" t="s">
        <v>148</v>
      </c>
      <c r="D6" s="82"/>
      <c r="E6" s="83"/>
      <c r="F6" s="15" t="str">
        <f ca="1">INDIRECT(ADDRESS(27,7))&amp;":"&amp;INDIRECT(ADDRESS(27,6))</f>
        <v>13:9</v>
      </c>
      <c r="G6" s="16" t="s">
        <v>4</v>
      </c>
      <c r="H6" s="17" t="str">
        <f ca="1">INDIRECT(ADDRESS(37,6))&amp;":"&amp;INDIRECT(ADDRESS(37,7))</f>
        <v>5:13</v>
      </c>
      <c r="I6" s="17" t="str">
        <f ca="1">INDIRECT(ADDRESS(41,7))&amp;":"&amp;INDIRECT(ADDRESS(41,6))</f>
        <v>13:10</v>
      </c>
      <c r="J6" s="17" t="str">
        <f ca="1">INDIRECT(ADDRESS(21,6))&amp;":"&amp;INDIRECT(ADDRESS(21,7))</f>
        <v>9:13</v>
      </c>
      <c r="K6" s="18" t="str">
        <f ca="1">INDIRECT(ADDRESS(30,6))&amp;":"&amp;INDIRECT(ADDRESS(30,7))</f>
        <v>8:10</v>
      </c>
      <c r="L6" s="87">
        <f ca="1">IF(COUNT(F7:K7)=0,"",COUNTIF(F7:K7,"&gt;0")+0.5*COUNTIF(F7:K7,0))</f>
        <v>2</v>
      </c>
      <c r="M6" s="13"/>
      <c r="N6" s="89">
        <v>5</v>
      </c>
    </row>
    <row r="7" spans="1:14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COLUMN())))=1,"",INDIRECT(ADDRESS(27,7))-INDIRECT(ADDRESS(27,6)))</f>
        <v>4</v>
      </c>
      <c r="G7" s="20" t="s">
        <v>4</v>
      </c>
      <c r="H7" s="13">
        <f ca="1">IF(LEN(INDIRECT(ADDRESS(ROW()-1, COLUMN())))=1,"",INDIRECT(ADDRESS(37,6))-INDIRECT(ADDRESS(37,7)))</f>
        <v>-8</v>
      </c>
      <c r="I7" s="13">
        <f ca="1">IF(LEN(INDIRECT(ADDRESS(ROW()-1, COLUMN())))=1,"",INDIRECT(ADDRESS(41,7))-INDIRECT(ADDRESS(41,6)))</f>
        <v>3</v>
      </c>
      <c r="J7" s="13">
        <f ca="1">IF(LEN(INDIRECT(ADDRESS(ROW()-1, COLUMN())))=1,"",INDIRECT(ADDRESS(21,6))-INDIRECT(ADDRESS(21,7)))</f>
        <v>-4</v>
      </c>
      <c r="K7" s="14">
        <f ca="1">IF(LEN(INDIRECT(ADDRESS(ROW()-1, COLUMN())))=1,"",INDIRECT(ADDRESS(30,6))-INDIRECT(ADDRESS(30,7)))</f>
        <v>-2</v>
      </c>
      <c r="L7" s="87"/>
      <c r="M7" s="13">
        <f ca="1">IF(COUNT(F7:K7)=0,"",SUM(F7:K7))</f>
        <v>-7</v>
      </c>
      <c r="N7" s="92"/>
    </row>
    <row r="8" spans="1:14" ht="24" customHeight="1" x14ac:dyDescent="0.25">
      <c r="A8" s="6"/>
      <c r="B8" s="79">
        <v>3</v>
      </c>
      <c r="C8" s="93" t="s">
        <v>145</v>
      </c>
      <c r="D8" s="94"/>
      <c r="E8" s="95"/>
      <c r="F8" s="15" t="str">
        <f ca="1">INDIRECT(ADDRESS(31,6))&amp;":"&amp;INDIRECT(ADDRESS(31,7))</f>
        <v>7:13</v>
      </c>
      <c r="G8" s="17" t="str">
        <f ca="1">INDIRECT(ADDRESS(37,7))&amp;":"&amp;INDIRECT(ADDRESS(37,6))</f>
        <v>13:5</v>
      </c>
      <c r="H8" s="16" t="s">
        <v>4</v>
      </c>
      <c r="I8" s="17" t="str">
        <f ca="1">INDIRECT(ADDRESS(22,6))&amp;":"&amp;INDIRECT(ADDRESS(22,7))</f>
        <v>13:11</v>
      </c>
      <c r="J8" s="17" t="str">
        <f ca="1">INDIRECT(ADDRESS(26,7))&amp;":"&amp;INDIRECT(ADDRESS(26,6))</f>
        <v>13:10</v>
      </c>
      <c r="K8" s="18" t="str">
        <f ca="1">INDIRECT(ADDRESS(40,6))&amp;":"&amp;INDIRECT(ADDRESS(40,7))</f>
        <v>13:5</v>
      </c>
      <c r="L8" s="87">
        <f ca="1">IF(COUNT(F9:K9)=0,"",COUNTIF(F9:K9,"&gt;0")+0.5*COUNTIF(F9:K9,0))</f>
        <v>4</v>
      </c>
      <c r="M8" s="13"/>
      <c r="N8" s="89">
        <v>2</v>
      </c>
    </row>
    <row r="9" spans="1:14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COLUMN())))=1,"",INDIRECT(ADDRESS(31,6))-INDIRECT(ADDRESS(31,7)))</f>
        <v>-6</v>
      </c>
      <c r="G9" s="13">
        <f ca="1">IF(LEN(INDIRECT(ADDRESS(ROW()-1, COLUMN())))=1,"",INDIRECT(ADDRESS(37,7))-INDIRECT(ADDRESS(37,6)))</f>
        <v>8</v>
      </c>
      <c r="H9" s="20" t="s">
        <v>4</v>
      </c>
      <c r="I9" s="13">
        <f ca="1">IF(LEN(INDIRECT(ADDRESS(ROW()-1, COLUMN())))=1,"",INDIRECT(ADDRESS(22,6))-INDIRECT(ADDRESS(22,7)))</f>
        <v>2</v>
      </c>
      <c r="J9" s="13">
        <f ca="1">IF(LEN(INDIRECT(ADDRESS(ROW()-1, COLUMN())))=1,"",INDIRECT(ADDRESS(26,7))-INDIRECT(ADDRESS(26,6)))</f>
        <v>3</v>
      </c>
      <c r="K9" s="14">
        <f ca="1">IF(LEN(INDIRECT(ADDRESS(ROW()-1, COLUMN())))=1,"",INDIRECT(ADDRESS(40,6))-INDIRECT(ADDRESS(40,7)))</f>
        <v>8</v>
      </c>
      <c r="L9" s="87"/>
      <c r="M9" s="13">
        <f ca="1">IF(COUNT(F9:K9)=0,"",SUM(F9:K9))</f>
        <v>15</v>
      </c>
      <c r="N9" s="92"/>
    </row>
    <row r="10" spans="1:14" ht="24" customHeight="1" x14ac:dyDescent="0.25">
      <c r="A10" s="6"/>
      <c r="B10" s="79">
        <v>4</v>
      </c>
      <c r="C10" s="81" t="s">
        <v>149</v>
      </c>
      <c r="D10" s="82"/>
      <c r="E10" s="83"/>
      <c r="F10" s="15" t="str">
        <f ca="1">INDIRECT(ADDRESS(36,7))&amp;":"&amp;INDIRECT(ADDRESS(36,6))</f>
        <v>10:13</v>
      </c>
      <c r="G10" s="17" t="str">
        <f ca="1">INDIRECT(ADDRESS(41,6))&amp;":"&amp;INDIRECT(ADDRESS(41,7))</f>
        <v>10:13</v>
      </c>
      <c r="H10" s="17" t="str">
        <f ca="1">INDIRECT(ADDRESS(22,7))&amp;":"&amp;INDIRECT(ADDRESS(22,6))</f>
        <v>11:13</v>
      </c>
      <c r="I10" s="16" t="s">
        <v>4</v>
      </c>
      <c r="J10" s="17" t="str">
        <f ca="1">INDIRECT(ADDRESS(32,6))&amp;":"&amp;INDIRECT(ADDRESS(32,7))</f>
        <v>8:13</v>
      </c>
      <c r="K10" s="18" t="str">
        <f ca="1">INDIRECT(ADDRESS(25,7))&amp;":"&amp;INDIRECT(ADDRESS(25,6))</f>
        <v>5:13</v>
      </c>
      <c r="L10" s="87">
        <f ca="1">IF(COUNT(F11:K11)=0,"",COUNTIF(F11:K11,"&gt;0")+0.5*COUNTIF(F11:K11,0))</f>
        <v>0</v>
      </c>
      <c r="M10" s="13"/>
      <c r="N10" s="89">
        <v>6</v>
      </c>
    </row>
    <row r="11" spans="1:14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COLUMN())))=1,"",INDIRECT(ADDRESS(36,7))-INDIRECT(ADDRESS(36,6)))</f>
        <v>-3</v>
      </c>
      <c r="G11" s="13">
        <f ca="1">IF(LEN(INDIRECT(ADDRESS(ROW()-1, COLUMN())))=1,"",INDIRECT(ADDRESS(41,6))-INDIRECT(ADDRESS(41,7)))</f>
        <v>-3</v>
      </c>
      <c r="H11" s="13">
        <f ca="1">IF(LEN(INDIRECT(ADDRESS(ROW()-1, COLUMN())))=1,"",INDIRECT(ADDRESS(22,7))-INDIRECT(ADDRESS(22,6)))</f>
        <v>-2</v>
      </c>
      <c r="I11" s="20" t="s">
        <v>4</v>
      </c>
      <c r="J11" s="13">
        <f ca="1">IF(LEN(INDIRECT(ADDRESS(ROW()-1, COLUMN())))=1,"",INDIRECT(ADDRESS(32,6))-INDIRECT(ADDRESS(32,7)))</f>
        <v>-5</v>
      </c>
      <c r="K11" s="14">
        <f ca="1">IF(LEN(INDIRECT(ADDRESS(ROW()-1, COLUMN())))=1,"",INDIRECT(ADDRESS(25,7))-INDIRECT(ADDRESS(25,6)))</f>
        <v>-8</v>
      </c>
      <c r="L11" s="87"/>
      <c r="M11" s="13">
        <f ca="1">IF(COUNT(F11:K11)=0,"",SUM(F11:K11))</f>
        <v>-21</v>
      </c>
      <c r="N11" s="92"/>
    </row>
    <row r="12" spans="1:14" ht="24" customHeight="1" x14ac:dyDescent="0.25">
      <c r="A12" s="6"/>
      <c r="B12" s="79">
        <v>5</v>
      </c>
      <c r="C12" s="81" t="s">
        <v>150</v>
      </c>
      <c r="D12" s="82"/>
      <c r="E12" s="83"/>
      <c r="F12" s="15" t="str">
        <f ca="1">INDIRECT(ADDRESS(42,6))&amp;":"&amp;INDIRECT(ADDRESS(42,7))</f>
        <v>9:13</v>
      </c>
      <c r="G12" s="17" t="str">
        <f ca="1">INDIRECT(ADDRESS(21,7))&amp;":"&amp;INDIRECT(ADDRESS(21,6))</f>
        <v>13:9</v>
      </c>
      <c r="H12" s="17" t="str">
        <f ca="1">INDIRECT(ADDRESS(26,6))&amp;":"&amp;INDIRECT(ADDRESS(26,7))</f>
        <v>10:13</v>
      </c>
      <c r="I12" s="17" t="str">
        <f ca="1">INDIRECT(ADDRESS(32,7))&amp;":"&amp;INDIRECT(ADDRESS(32,6))</f>
        <v>13:8</v>
      </c>
      <c r="J12" s="16" t="s">
        <v>4</v>
      </c>
      <c r="K12" s="18" t="str">
        <f ca="1">INDIRECT(ADDRESS(35,7))&amp;":"&amp;INDIRECT(ADDRESS(35,6))</f>
        <v>8:13</v>
      </c>
      <c r="L12" s="87">
        <f ca="1">IF(COUNT(F13:K13)=0,"",COUNTIF(F13:K13,"&gt;0")+0.5*COUNTIF(F13:K13,0))</f>
        <v>2</v>
      </c>
      <c r="M12" s="13"/>
      <c r="N12" s="89">
        <v>4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-4</v>
      </c>
      <c r="G13" s="13">
        <f ca="1">IF(LEN(INDIRECT(ADDRESS(ROW()-1, COLUMN())))=1,"",INDIRECT(ADDRESS(21,7))-INDIRECT(ADDRESS(21,6)))</f>
        <v>4</v>
      </c>
      <c r="H13" s="13">
        <f ca="1">IF(LEN(INDIRECT(ADDRESS(ROW()-1, COLUMN())))=1,"",INDIRECT(ADDRESS(26,6))-INDIRECT(ADDRESS(26,7)))</f>
        <v>-3</v>
      </c>
      <c r="I13" s="13">
        <f ca="1">IF(LEN(INDIRECT(ADDRESS(ROW()-1, COLUMN())))=1,"",INDIRECT(ADDRESS(32,7))-INDIRECT(ADDRESS(32,6)))</f>
        <v>5</v>
      </c>
      <c r="J13" s="20" t="s">
        <v>4</v>
      </c>
      <c r="K13" s="14">
        <f ca="1">IF(LEN(INDIRECT(ADDRESS(ROW()-1, COLUMN())))=1,"",INDIRECT(ADDRESS(35,7))-INDIRECT(ADDRESS(35,6)))</f>
        <v>-5</v>
      </c>
      <c r="L13" s="87"/>
      <c r="M13" s="13">
        <f ca="1">IF(COUNT(F13:K13)=0,"",SUM(F13:K13))</f>
        <v>-3</v>
      </c>
      <c r="N13" s="92"/>
    </row>
    <row r="14" spans="1:14" ht="24" customHeight="1" x14ac:dyDescent="0.25">
      <c r="A14" s="6"/>
      <c r="B14" s="79">
        <v>6</v>
      </c>
      <c r="C14" s="81" t="s">
        <v>151</v>
      </c>
      <c r="D14" s="82"/>
      <c r="E14" s="83"/>
      <c r="F14" s="15" t="str">
        <f ca="1">INDIRECT(ADDRESS(20,7))&amp;":"&amp;INDIRECT(ADDRESS(20,6))</f>
        <v>3:13</v>
      </c>
      <c r="G14" s="17" t="str">
        <f ca="1">INDIRECT(ADDRESS(30,7))&amp;":"&amp;INDIRECT(ADDRESS(30,6))</f>
        <v>10:8</v>
      </c>
      <c r="H14" s="17" t="str">
        <f ca="1">INDIRECT(ADDRESS(40,7))&amp;":"&amp;INDIRECT(ADDRESS(40,6))</f>
        <v>5:13</v>
      </c>
      <c r="I14" s="17" t="str">
        <f ca="1">INDIRECT(ADDRESS(25,6))&amp;":"&amp;INDIRECT(ADDRESS(25,7))</f>
        <v>13:5</v>
      </c>
      <c r="J14" s="17" t="str">
        <f ca="1">INDIRECT(ADDRESS(35,6))&amp;":"&amp;INDIRECT(ADDRESS(35,7))</f>
        <v>13:8</v>
      </c>
      <c r="K14" s="21" t="s">
        <v>4</v>
      </c>
      <c r="L14" s="87">
        <f ca="1">IF(COUNT(F15:K15)=0,"",COUNTIF(F15:K15,"&gt;0")+0.5*COUNTIF(F15:K15,0))</f>
        <v>3</v>
      </c>
      <c r="M14" s="13"/>
      <c r="N14" s="89">
        <v>3</v>
      </c>
    </row>
    <row r="15" spans="1:14" ht="24" customHeight="1" thickBot="1" x14ac:dyDescent="0.3">
      <c r="A15" s="6"/>
      <c r="B15" s="80"/>
      <c r="C15" s="84"/>
      <c r="D15" s="85"/>
      <c r="E15" s="86"/>
      <c r="F15" s="22">
        <f ca="1">IF(LEN(INDIRECT(ADDRESS(ROW()-1, COLUMN())))=1,"",INDIRECT(ADDRESS(20,7))-INDIRECT(ADDRESS(20,6)))</f>
        <v>-10</v>
      </c>
      <c r="G15" s="23">
        <f ca="1">IF(LEN(INDIRECT(ADDRESS(ROW()-1, COLUMN())))=1,"",INDIRECT(ADDRESS(30,7))-INDIRECT(ADDRESS(30,6)))</f>
        <v>2</v>
      </c>
      <c r="H15" s="23">
        <f ca="1">IF(LEN(INDIRECT(ADDRESS(ROW()-1, COLUMN())))=1,"",INDIRECT(ADDRESS(40,7))-INDIRECT(ADDRESS(40,6)))</f>
        <v>-8</v>
      </c>
      <c r="I15" s="23">
        <f ca="1">IF(LEN(INDIRECT(ADDRESS(ROW()-1, COLUMN())))=1,"",INDIRECT(ADDRESS(25,6))-INDIRECT(ADDRESS(25,7)))</f>
        <v>8</v>
      </c>
      <c r="J15" s="23">
        <f ca="1">IF(LEN(INDIRECT(ADDRESS(ROW()-1, COLUMN())))=1,"",INDIRECT(ADDRESS(35,6))-INDIRECT(ADDRESS(35,7)))</f>
        <v>5</v>
      </c>
      <c r="K15" s="24" t="s">
        <v>4</v>
      </c>
      <c r="L15" s="88"/>
      <c r="M15" s="23">
        <f ca="1">IF(COUNT(F15:K15)=0,"",SUM(F15:K15))</f>
        <v>-3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Давыдов Андрей</v>
      </c>
      <c r="D20" s="75"/>
      <c r="E20" s="76"/>
      <c r="F20" s="26">
        <v>13</v>
      </c>
      <c r="G20" s="27">
        <v>3</v>
      </c>
      <c r="H20" s="77" t="str">
        <f ca="1">IF(ISBLANK(INDIRECT(ADDRESS(K20*2+2,3))),"",INDIRECT(ADDRESS(K20*2+2,3)))</f>
        <v>Лютиков Александр</v>
      </c>
      <c r="I20" s="75"/>
      <c r="J20" s="75"/>
      <c r="K20" s="25">
        <v>6</v>
      </c>
      <c r="L20" s="28" t="s">
        <v>6</v>
      </c>
      <c r="M20" s="29">
        <v>1</v>
      </c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Шахов Сергей</v>
      </c>
      <c r="D21" s="75"/>
      <c r="E21" s="76"/>
      <c r="F21" s="26">
        <v>9</v>
      </c>
      <c r="G21" s="27">
        <v>13</v>
      </c>
      <c r="H21" s="77" t="str">
        <f ca="1">IF(ISBLANK(INDIRECT(ADDRESS(K21*2+2,3))),"",INDIRECT(ADDRESS(K21*2+2,3)))</f>
        <v>Агапов Александр</v>
      </c>
      <c r="I21" s="75"/>
      <c r="J21" s="75"/>
      <c r="K21" s="25">
        <v>5</v>
      </c>
      <c r="L21" s="28" t="s">
        <v>6</v>
      </c>
      <c r="M21" s="29">
        <v>2</v>
      </c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Судник Виктор</v>
      </c>
      <c r="D22" s="75"/>
      <c r="E22" s="76"/>
      <c r="F22" s="26">
        <v>13</v>
      </c>
      <c r="G22" s="27">
        <v>11</v>
      </c>
      <c r="H22" s="77" t="str">
        <f ca="1">IF(ISBLANK(INDIRECT(ADDRESS(K22*2+2,3))),"",INDIRECT(ADDRESS(K22*2+2,3)))</f>
        <v>Сутырин Виктор</v>
      </c>
      <c r="I22" s="75"/>
      <c r="J22" s="75"/>
      <c r="K22" s="25">
        <v>4</v>
      </c>
      <c r="L22" s="28" t="s">
        <v>6</v>
      </c>
      <c r="M22" s="29">
        <v>3</v>
      </c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Лютиков Александр</v>
      </c>
      <c r="D25" s="75"/>
      <c r="E25" s="76"/>
      <c r="F25" s="26">
        <v>13</v>
      </c>
      <c r="G25" s="27">
        <v>5</v>
      </c>
      <c r="H25" s="77" t="str">
        <f ca="1">IF(ISBLANK(INDIRECT(ADDRESS(K25*2+2,3))),"",INDIRECT(ADDRESS(K25*2+2,3)))</f>
        <v>Сутырин Виктор</v>
      </c>
      <c r="I25" s="75"/>
      <c r="J25" s="75"/>
      <c r="K25" s="25">
        <v>4</v>
      </c>
      <c r="L25" s="28" t="s">
        <v>6</v>
      </c>
      <c r="M25" s="29">
        <v>4</v>
      </c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Агапов Александр</v>
      </c>
      <c r="D26" s="75"/>
      <c r="E26" s="76"/>
      <c r="F26" s="26">
        <v>10</v>
      </c>
      <c r="G26" s="27">
        <v>13</v>
      </c>
      <c r="H26" s="77" t="str">
        <f ca="1">IF(ISBLANK(INDIRECT(ADDRESS(K26*2+2,3))),"",INDIRECT(ADDRESS(K26*2+2,3)))</f>
        <v>Судник Виктор</v>
      </c>
      <c r="I26" s="75"/>
      <c r="J26" s="75"/>
      <c r="K26" s="25">
        <v>3</v>
      </c>
      <c r="L26" s="28" t="s">
        <v>6</v>
      </c>
      <c r="M26" s="29">
        <v>5</v>
      </c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Давыдов Андрей</v>
      </c>
      <c r="D27" s="75"/>
      <c r="E27" s="76"/>
      <c r="F27" s="26">
        <v>9</v>
      </c>
      <c r="G27" s="27">
        <v>13</v>
      </c>
      <c r="H27" s="77" t="str">
        <f ca="1">IF(ISBLANK(INDIRECT(ADDRESS(K27*2+2,3))),"",INDIRECT(ADDRESS(K27*2+2,3)))</f>
        <v>Шахов Сергей</v>
      </c>
      <c r="I27" s="75"/>
      <c r="J27" s="75"/>
      <c r="K27" s="25">
        <v>2</v>
      </c>
      <c r="L27" s="28" t="s">
        <v>6</v>
      </c>
      <c r="M27" s="29">
        <v>6</v>
      </c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Шахов Сергей</v>
      </c>
      <c r="D30" s="75"/>
      <c r="E30" s="76"/>
      <c r="F30" s="26">
        <v>8</v>
      </c>
      <c r="G30" s="27">
        <v>10</v>
      </c>
      <c r="H30" s="77" t="str">
        <f ca="1">IF(ISBLANK(INDIRECT(ADDRESS(K30*2+2,3))),"",INDIRECT(ADDRESS(K30*2+2,3)))</f>
        <v>Лютиков Александр</v>
      </c>
      <c r="I30" s="75"/>
      <c r="J30" s="75"/>
      <c r="K30" s="25">
        <v>6</v>
      </c>
      <c r="L30" s="28" t="s">
        <v>6</v>
      </c>
      <c r="M30" s="29">
        <v>3</v>
      </c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Судник Виктор</v>
      </c>
      <c r="D31" s="75"/>
      <c r="E31" s="76"/>
      <c r="F31" s="26">
        <v>7</v>
      </c>
      <c r="G31" s="27">
        <v>13</v>
      </c>
      <c r="H31" s="77" t="str">
        <f ca="1">IF(ISBLANK(INDIRECT(ADDRESS(K31*2+2,3))),"",INDIRECT(ADDRESS(K31*2+2,3)))</f>
        <v>Давыдов Андрей</v>
      </c>
      <c r="I31" s="75"/>
      <c r="J31" s="75"/>
      <c r="K31" s="25">
        <v>1</v>
      </c>
      <c r="L31" s="28" t="s">
        <v>6</v>
      </c>
      <c r="M31" s="29">
        <v>2</v>
      </c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Сутырин Виктор</v>
      </c>
      <c r="D32" s="75"/>
      <c r="E32" s="76"/>
      <c r="F32" s="26">
        <v>8</v>
      </c>
      <c r="G32" s="27">
        <v>13</v>
      </c>
      <c r="H32" s="77" t="str">
        <f ca="1">IF(ISBLANK(INDIRECT(ADDRESS(K32*2+2,3))),"",INDIRECT(ADDRESS(K32*2+2,3)))</f>
        <v>Агапов Александр</v>
      </c>
      <c r="I32" s="75"/>
      <c r="J32" s="75"/>
      <c r="K32" s="25">
        <v>5</v>
      </c>
      <c r="L32" s="28" t="s">
        <v>6</v>
      </c>
      <c r="M32" s="29">
        <v>1</v>
      </c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Лютиков Александр</v>
      </c>
      <c r="D35" s="75"/>
      <c r="E35" s="76"/>
      <c r="F35" s="26">
        <v>13</v>
      </c>
      <c r="G35" s="27">
        <v>8</v>
      </c>
      <c r="H35" s="77" t="str">
        <f ca="1">IF(ISBLANK(INDIRECT(ADDRESS(K35*2+2,3))),"",INDIRECT(ADDRESS(K35*2+2,3)))</f>
        <v>Агапов Александр</v>
      </c>
      <c r="I35" s="75"/>
      <c r="J35" s="75"/>
      <c r="K35" s="25">
        <v>5</v>
      </c>
      <c r="L35" s="28" t="s">
        <v>6</v>
      </c>
      <c r="M35" s="29">
        <v>6</v>
      </c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Давыдов Андрей</v>
      </c>
      <c r="D36" s="75"/>
      <c r="E36" s="76"/>
      <c r="F36" s="26">
        <v>13</v>
      </c>
      <c r="G36" s="27">
        <v>10</v>
      </c>
      <c r="H36" s="77" t="str">
        <f ca="1">IF(ISBLANK(INDIRECT(ADDRESS(K36*2+2,3))),"",INDIRECT(ADDRESS(K36*2+2,3)))</f>
        <v>Сутырин Виктор</v>
      </c>
      <c r="I36" s="75"/>
      <c r="J36" s="75"/>
      <c r="K36" s="25">
        <v>4</v>
      </c>
      <c r="L36" s="28" t="s">
        <v>6</v>
      </c>
      <c r="M36" s="29">
        <v>5</v>
      </c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Шахов Сергей</v>
      </c>
      <c r="D37" s="75"/>
      <c r="E37" s="76"/>
      <c r="F37" s="26">
        <v>5</v>
      </c>
      <c r="G37" s="27">
        <v>13</v>
      </c>
      <c r="H37" s="77" t="str">
        <f ca="1">IF(ISBLANK(INDIRECT(ADDRESS(K37*2+2,3))),"",INDIRECT(ADDRESS(K37*2+2,3)))</f>
        <v>Судник Виктор</v>
      </c>
      <c r="I37" s="75"/>
      <c r="J37" s="75"/>
      <c r="K37" s="25">
        <v>3</v>
      </c>
      <c r="L37" s="28" t="s">
        <v>6</v>
      </c>
      <c r="M37" s="29">
        <v>4</v>
      </c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Судник Виктор</v>
      </c>
      <c r="D40" s="75"/>
      <c r="E40" s="76"/>
      <c r="F40" s="26">
        <v>13</v>
      </c>
      <c r="G40" s="27">
        <v>5</v>
      </c>
      <c r="H40" s="77" t="str">
        <f ca="1">IF(ISBLANK(INDIRECT(ADDRESS(K40*2+2,3))),"",INDIRECT(ADDRESS(K40*2+2,3)))</f>
        <v>Лютиков Александр</v>
      </c>
      <c r="I40" s="75"/>
      <c r="J40" s="75"/>
      <c r="K40" s="25">
        <v>6</v>
      </c>
      <c r="L40" s="28" t="s">
        <v>6</v>
      </c>
      <c r="M40" s="29">
        <v>1</v>
      </c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Сутырин Виктор</v>
      </c>
      <c r="D41" s="75"/>
      <c r="E41" s="76"/>
      <c r="F41" s="26">
        <v>10</v>
      </c>
      <c r="G41" s="27">
        <v>13</v>
      </c>
      <c r="H41" s="77" t="str">
        <f ca="1">IF(ISBLANK(INDIRECT(ADDRESS(K41*2+2,3))),"",INDIRECT(ADDRESS(K41*2+2,3)))</f>
        <v>Шахов Сергей</v>
      </c>
      <c r="I41" s="75"/>
      <c r="J41" s="75"/>
      <c r="K41" s="25">
        <v>2</v>
      </c>
      <c r="L41" s="28" t="s">
        <v>6</v>
      </c>
      <c r="M41" s="29">
        <v>2</v>
      </c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Агапов Александр</v>
      </c>
      <c r="D42" s="75"/>
      <c r="E42" s="76"/>
      <c r="F42" s="26">
        <v>9</v>
      </c>
      <c r="G42" s="27">
        <v>13</v>
      </c>
      <c r="H42" s="77" t="str">
        <f ca="1">IF(ISBLANK(INDIRECT(ADDRESS(K42*2+2,3))),"",INDIRECT(ADDRESS(K42*2+2,3)))</f>
        <v>Давыдов Андрей</v>
      </c>
      <c r="I42" s="75"/>
      <c r="J42" s="75"/>
      <c r="K42" s="25">
        <v>1</v>
      </c>
      <c r="L42" s="28" t="s">
        <v>6</v>
      </c>
      <c r="M42" s="29">
        <v>3</v>
      </c>
    </row>
    <row r="43" spans="2:13" x14ac:dyDescent="0.25">
      <c r="K43" s="31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O17" sqref="O17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25">
      <c r="B1" s="97" t="s">
        <v>128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4" ht="15.75" thickBot="1" x14ac:dyDescent="0.3">
      <c r="M2"/>
    </row>
    <row r="3" spans="1:14" ht="30" customHeight="1" thickBot="1" x14ac:dyDescent="0.3">
      <c r="B3" s="4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9" t="s">
        <v>146</v>
      </c>
      <c r="D4" s="110"/>
      <c r="E4" s="111"/>
      <c r="F4" s="8" t="s">
        <v>4</v>
      </c>
      <c r="G4" s="9" t="str">
        <f ca="1">INDIRECT(ADDRESS(27,6))&amp;":"&amp;INDIRECT(ADDRESS(27,7))</f>
        <v>13:4</v>
      </c>
      <c r="H4" s="9" t="str">
        <f ca="1">INDIRECT(ADDRESS(31,7))&amp;":"&amp;INDIRECT(ADDRESS(31,6))</f>
        <v>3:13</v>
      </c>
      <c r="I4" s="9" t="str">
        <f ca="1">INDIRECT(ADDRESS(36,6))&amp;":"&amp;INDIRECT(ADDRESS(36,7))</f>
        <v>13:8</v>
      </c>
      <c r="J4" s="9" t="str">
        <f ca="1">INDIRECT(ADDRESS(42,7))&amp;":"&amp;INDIRECT(ADDRESS(42,6))</f>
        <v>13:3</v>
      </c>
      <c r="K4" s="10" t="str">
        <f ca="1">INDIRECT(ADDRESS(20,6))&amp;":"&amp;INDIRECT(ADDRESS(20,7))</f>
        <v>13:10</v>
      </c>
      <c r="L4" s="105">
        <f ca="1">IF(COUNT(F5:K5)=0,"",COUNTIF(F5:K5,"&gt;0")+0.5*COUNTIF(F5:K5,0))</f>
        <v>4</v>
      </c>
      <c r="M4" s="11"/>
      <c r="N4" s="96">
        <v>2</v>
      </c>
    </row>
    <row r="5" spans="1:14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COLUMN())))=1,"",INDIRECT(ADDRESS(27,6))-INDIRECT(ADDRESS(27,7)))</f>
        <v>9</v>
      </c>
      <c r="H5" s="13">
        <f ca="1">IF(LEN(INDIRECT(ADDRESS(ROW()-1, COLUMN())))=1,"",INDIRECT(ADDRESS(31,7))-INDIRECT(ADDRESS(31,6)))</f>
        <v>-10</v>
      </c>
      <c r="I5" s="13">
        <f ca="1">IF(LEN(INDIRECT(ADDRESS(ROW()-1, COLUMN())))=1,"",INDIRECT(ADDRESS(36,6))-INDIRECT(ADDRESS(36,7)))</f>
        <v>5</v>
      </c>
      <c r="J5" s="13">
        <f ca="1">IF(LEN(INDIRECT(ADDRESS(ROW()-1, COLUMN())))=1,"",INDIRECT(ADDRESS(42,7))-INDIRECT(ADDRESS(42,6)))</f>
        <v>10</v>
      </c>
      <c r="K5" s="14">
        <f ca="1">IF(LEN(INDIRECT(ADDRESS(ROW()-1, COLUMN())))=1,"",INDIRECT(ADDRESS(20,6))-INDIRECT(ADDRESS(20,7)))</f>
        <v>3</v>
      </c>
      <c r="L5" s="87"/>
      <c r="M5" s="13">
        <f ca="1">IF(COUNT(F5:K5)=0,"",SUM(F5:K5))</f>
        <v>17</v>
      </c>
      <c r="N5" s="92"/>
    </row>
    <row r="6" spans="1:14" ht="24" customHeight="1" x14ac:dyDescent="0.25">
      <c r="A6" s="6"/>
      <c r="B6" s="79">
        <v>2</v>
      </c>
      <c r="C6" s="81" t="s">
        <v>153</v>
      </c>
      <c r="D6" s="82"/>
      <c r="E6" s="83"/>
      <c r="F6" s="15" t="str">
        <f ca="1">INDIRECT(ADDRESS(27,7))&amp;":"&amp;INDIRECT(ADDRESS(27,6))</f>
        <v>4:13</v>
      </c>
      <c r="G6" s="16" t="s">
        <v>4</v>
      </c>
      <c r="H6" s="17" t="str">
        <f ca="1">INDIRECT(ADDRESS(37,6))&amp;":"&amp;INDIRECT(ADDRESS(37,7))</f>
        <v>13:9</v>
      </c>
      <c r="I6" s="17" t="str">
        <f ca="1">INDIRECT(ADDRESS(41,7))&amp;":"&amp;INDIRECT(ADDRESS(41,6))</f>
        <v>2:13</v>
      </c>
      <c r="J6" s="17" t="str">
        <f ca="1">INDIRECT(ADDRESS(21,6))&amp;":"&amp;INDIRECT(ADDRESS(21,7))</f>
        <v>13:7</v>
      </c>
      <c r="K6" s="18" t="str">
        <f ca="1">INDIRECT(ADDRESS(30,6))&amp;":"&amp;INDIRECT(ADDRESS(30,7))</f>
        <v>13:7</v>
      </c>
      <c r="L6" s="87">
        <f ca="1">IF(COUNT(F7:K7)=0,"",COUNTIF(F7:K7,"&gt;0")+0.5*COUNTIF(F7:K7,0))</f>
        <v>3</v>
      </c>
      <c r="M6" s="13"/>
      <c r="N6" s="89">
        <v>4</v>
      </c>
    </row>
    <row r="7" spans="1:14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COLUMN())))=1,"",INDIRECT(ADDRESS(27,7))-INDIRECT(ADDRESS(27,6)))</f>
        <v>-9</v>
      </c>
      <c r="G7" s="20" t="s">
        <v>4</v>
      </c>
      <c r="H7" s="13">
        <f ca="1">IF(LEN(INDIRECT(ADDRESS(ROW()-1, COLUMN())))=1,"",INDIRECT(ADDRESS(37,6))-INDIRECT(ADDRESS(37,7)))</f>
        <v>4</v>
      </c>
      <c r="I7" s="13">
        <f ca="1">IF(LEN(INDIRECT(ADDRESS(ROW()-1, COLUMN())))=1,"",INDIRECT(ADDRESS(41,7))-INDIRECT(ADDRESS(41,6)))</f>
        <v>-11</v>
      </c>
      <c r="J7" s="13">
        <f ca="1">IF(LEN(INDIRECT(ADDRESS(ROW()-1, COLUMN())))=1,"",INDIRECT(ADDRESS(21,6))-INDIRECT(ADDRESS(21,7)))</f>
        <v>6</v>
      </c>
      <c r="K7" s="14">
        <f ca="1">IF(LEN(INDIRECT(ADDRESS(ROW()-1, COLUMN())))=1,"",INDIRECT(ADDRESS(30,6))-INDIRECT(ADDRESS(30,7)))</f>
        <v>6</v>
      </c>
      <c r="L7" s="87"/>
      <c r="M7" s="13">
        <f ca="1">IF(COUNT(F7:K7)=0,"",SUM(F7:K7))</f>
        <v>-4</v>
      </c>
      <c r="N7" s="92"/>
    </row>
    <row r="8" spans="1:14" ht="24" customHeight="1" x14ac:dyDescent="0.25">
      <c r="A8" s="6"/>
      <c r="B8" s="79">
        <v>3</v>
      </c>
      <c r="C8" s="93" t="s">
        <v>147</v>
      </c>
      <c r="D8" s="94"/>
      <c r="E8" s="95"/>
      <c r="F8" s="15" t="str">
        <f ca="1">INDIRECT(ADDRESS(31,6))&amp;":"&amp;INDIRECT(ADDRESS(31,7))</f>
        <v>13:3</v>
      </c>
      <c r="G8" s="17" t="str">
        <f ca="1">INDIRECT(ADDRESS(37,7))&amp;":"&amp;INDIRECT(ADDRESS(37,6))</f>
        <v>9:13</v>
      </c>
      <c r="H8" s="16" t="s">
        <v>4</v>
      </c>
      <c r="I8" s="17" t="str">
        <f ca="1">INDIRECT(ADDRESS(22,6))&amp;":"&amp;INDIRECT(ADDRESS(22,7))</f>
        <v>13:1</v>
      </c>
      <c r="J8" s="17" t="str">
        <f ca="1">INDIRECT(ADDRESS(26,7))&amp;":"&amp;INDIRECT(ADDRESS(26,6))</f>
        <v>13:5</v>
      </c>
      <c r="K8" s="18" t="str">
        <f ca="1">INDIRECT(ADDRESS(40,6))&amp;":"&amp;INDIRECT(ADDRESS(40,7))</f>
        <v>13:7</v>
      </c>
      <c r="L8" s="87">
        <f ca="1">IF(COUNT(F9:K9)=0,"",COUNTIF(F9:K9,"&gt;0")+0.5*COUNTIF(F9:K9,0))</f>
        <v>4</v>
      </c>
      <c r="M8" s="13"/>
      <c r="N8" s="89">
        <v>1</v>
      </c>
    </row>
    <row r="9" spans="1:14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COLUMN())))=1,"",INDIRECT(ADDRESS(31,6))-INDIRECT(ADDRESS(31,7)))</f>
        <v>10</v>
      </c>
      <c r="G9" s="13">
        <f ca="1">IF(LEN(INDIRECT(ADDRESS(ROW()-1, COLUMN())))=1,"",INDIRECT(ADDRESS(37,7))-INDIRECT(ADDRESS(37,6)))</f>
        <v>-4</v>
      </c>
      <c r="H9" s="20" t="s">
        <v>4</v>
      </c>
      <c r="I9" s="13">
        <f ca="1">IF(LEN(INDIRECT(ADDRESS(ROW()-1, COLUMN())))=1,"",INDIRECT(ADDRESS(22,6))-INDIRECT(ADDRESS(22,7)))</f>
        <v>12</v>
      </c>
      <c r="J9" s="13">
        <f ca="1">IF(LEN(INDIRECT(ADDRESS(ROW()-1, COLUMN())))=1,"",INDIRECT(ADDRESS(26,7))-INDIRECT(ADDRESS(26,6)))</f>
        <v>8</v>
      </c>
      <c r="K9" s="14">
        <f ca="1">IF(LEN(INDIRECT(ADDRESS(ROW()-1, COLUMN())))=1,"",INDIRECT(ADDRESS(40,6))-INDIRECT(ADDRESS(40,7)))</f>
        <v>6</v>
      </c>
      <c r="L9" s="87"/>
      <c r="M9" s="13">
        <f ca="1">IF(COUNT(F9:K9)=0,"",SUM(F9:K9))</f>
        <v>32</v>
      </c>
      <c r="N9" s="92"/>
    </row>
    <row r="10" spans="1:14" ht="24" customHeight="1" x14ac:dyDescent="0.25">
      <c r="A10" s="6"/>
      <c r="B10" s="79">
        <v>4</v>
      </c>
      <c r="C10" s="81" t="s">
        <v>152</v>
      </c>
      <c r="D10" s="82"/>
      <c r="E10" s="83"/>
      <c r="F10" s="15" t="str">
        <f ca="1">INDIRECT(ADDRESS(36,7))&amp;":"&amp;INDIRECT(ADDRESS(36,6))</f>
        <v>8:13</v>
      </c>
      <c r="G10" s="17" t="str">
        <f ca="1">INDIRECT(ADDRESS(41,6))&amp;":"&amp;INDIRECT(ADDRESS(41,7))</f>
        <v>13:2</v>
      </c>
      <c r="H10" s="17" t="str">
        <f ca="1">INDIRECT(ADDRESS(22,7))&amp;":"&amp;INDIRECT(ADDRESS(22,6))</f>
        <v>1:13</v>
      </c>
      <c r="I10" s="16" t="s">
        <v>4</v>
      </c>
      <c r="J10" s="17" t="str">
        <f ca="1">INDIRECT(ADDRESS(32,6))&amp;":"&amp;INDIRECT(ADDRESS(32,7))</f>
        <v>13:6</v>
      </c>
      <c r="K10" s="18" t="str">
        <f ca="1">INDIRECT(ADDRESS(25,7))&amp;":"&amp;INDIRECT(ADDRESS(25,6))</f>
        <v>13:4</v>
      </c>
      <c r="L10" s="87">
        <f ca="1">IF(COUNT(F11:K11)=0,"",COUNTIF(F11:K11,"&gt;0")+0.5*COUNTIF(F11:K11,0))</f>
        <v>3</v>
      </c>
      <c r="M10" s="13"/>
      <c r="N10" s="89">
        <v>3</v>
      </c>
    </row>
    <row r="11" spans="1:14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COLUMN())))=1,"",INDIRECT(ADDRESS(36,7))-INDIRECT(ADDRESS(36,6)))</f>
        <v>-5</v>
      </c>
      <c r="G11" s="13">
        <f ca="1">IF(LEN(INDIRECT(ADDRESS(ROW()-1, COLUMN())))=1,"",INDIRECT(ADDRESS(41,6))-INDIRECT(ADDRESS(41,7)))</f>
        <v>11</v>
      </c>
      <c r="H11" s="13">
        <f ca="1">IF(LEN(INDIRECT(ADDRESS(ROW()-1, COLUMN())))=1,"",INDIRECT(ADDRESS(22,7))-INDIRECT(ADDRESS(22,6)))</f>
        <v>-12</v>
      </c>
      <c r="I11" s="20" t="s">
        <v>4</v>
      </c>
      <c r="J11" s="13">
        <f ca="1">IF(LEN(INDIRECT(ADDRESS(ROW()-1, COLUMN())))=1,"",INDIRECT(ADDRESS(32,6))-INDIRECT(ADDRESS(32,7)))</f>
        <v>7</v>
      </c>
      <c r="K11" s="14">
        <f ca="1">IF(LEN(INDIRECT(ADDRESS(ROW()-1, COLUMN())))=1,"",INDIRECT(ADDRESS(25,7))-INDIRECT(ADDRESS(25,6)))</f>
        <v>9</v>
      </c>
      <c r="L11" s="87"/>
      <c r="M11" s="13">
        <f ca="1">IF(COUNT(F11:K11)=0,"",SUM(F11:K11))</f>
        <v>10</v>
      </c>
      <c r="N11" s="92"/>
    </row>
    <row r="12" spans="1:14" ht="24" customHeight="1" x14ac:dyDescent="0.25">
      <c r="A12" s="6"/>
      <c r="B12" s="79">
        <v>5</v>
      </c>
      <c r="C12" s="81" t="s">
        <v>155</v>
      </c>
      <c r="D12" s="82"/>
      <c r="E12" s="83"/>
      <c r="F12" s="15" t="str">
        <f ca="1">INDIRECT(ADDRESS(42,6))&amp;":"&amp;INDIRECT(ADDRESS(42,7))</f>
        <v>3:13</v>
      </c>
      <c r="G12" s="17" t="str">
        <f ca="1">INDIRECT(ADDRESS(21,7))&amp;":"&amp;INDIRECT(ADDRESS(21,6))</f>
        <v>7:13</v>
      </c>
      <c r="H12" s="17" t="str">
        <f ca="1">INDIRECT(ADDRESS(26,6))&amp;":"&amp;INDIRECT(ADDRESS(26,7))</f>
        <v>5:13</v>
      </c>
      <c r="I12" s="17" t="str">
        <f ca="1">INDIRECT(ADDRESS(32,7))&amp;":"&amp;INDIRECT(ADDRESS(32,6))</f>
        <v>6:13</v>
      </c>
      <c r="J12" s="16" t="s">
        <v>4</v>
      </c>
      <c r="K12" s="18" t="str">
        <f ca="1">INDIRECT(ADDRESS(35,7))&amp;":"&amp;INDIRECT(ADDRESS(35,6))</f>
        <v>7:13</v>
      </c>
      <c r="L12" s="87">
        <f ca="1">IF(COUNT(F13:K13)=0,"",COUNTIF(F13:K13,"&gt;0")+0.5*COUNTIF(F13:K13,0))</f>
        <v>0</v>
      </c>
      <c r="M12" s="13"/>
      <c r="N12" s="89">
        <v>6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-10</v>
      </c>
      <c r="G13" s="13">
        <f ca="1">IF(LEN(INDIRECT(ADDRESS(ROW()-1, COLUMN())))=1,"",INDIRECT(ADDRESS(21,7))-INDIRECT(ADDRESS(21,6)))</f>
        <v>-6</v>
      </c>
      <c r="H13" s="13">
        <f ca="1">IF(LEN(INDIRECT(ADDRESS(ROW()-1, COLUMN())))=1,"",INDIRECT(ADDRESS(26,6))-INDIRECT(ADDRESS(26,7)))</f>
        <v>-8</v>
      </c>
      <c r="I13" s="13">
        <f ca="1">IF(LEN(INDIRECT(ADDRESS(ROW()-1, COLUMN())))=1,"",INDIRECT(ADDRESS(32,7))-INDIRECT(ADDRESS(32,6)))</f>
        <v>-7</v>
      </c>
      <c r="J13" s="20" t="s">
        <v>4</v>
      </c>
      <c r="K13" s="14">
        <f ca="1">IF(LEN(INDIRECT(ADDRESS(ROW()-1, COLUMN())))=1,"",INDIRECT(ADDRESS(35,7))-INDIRECT(ADDRESS(35,6)))</f>
        <v>-6</v>
      </c>
      <c r="L13" s="87"/>
      <c r="M13" s="13">
        <f ca="1">IF(COUNT(F13:K13)=0,"",SUM(F13:K13))</f>
        <v>-37</v>
      </c>
      <c r="N13" s="92"/>
    </row>
    <row r="14" spans="1:14" ht="24" customHeight="1" x14ac:dyDescent="0.25">
      <c r="A14" s="6"/>
      <c r="B14" s="79">
        <v>6</v>
      </c>
      <c r="C14" s="81" t="s">
        <v>154</v>
      </c>
      <c r="D14" s="82"/>
      <c r="E14" s="83"/>
      <c r="F14" s="15" t="str">
        <f ca="1">INDIRECT(ADDRESS(20,7))&amp;":"&amp;INDIRECT(ADDRESS(20,6))</f>
        <v>10:13</v>
      </c>
      <c r="G14" s="17" t="str">
        <f ca="1">INDIRECT(ADDRESS(30,7))&amp;":"&amp;INDIRECT(ADDRESS(30,6))</f>
        <v>7:13</v>
      </c>
      <c r="H14" s="17" t="str">
        <f ca="1">INDIRECT(ADDRESS(40,7))&amp;":"&amp;INDIRECT(ADDRESS(40,6))</f>
        <v>7:13</v>
      </c>
      <c r="I14" s="17" t="str">
        <f ca="1">INDIRECT(ADDRESS(25,6))&amp;":"&amp;INDIRECT(ADDRESS(25,7))</f>
        <v>4:13</v>
      </c>
      <c r="J14" s="17" t="str">
        <f ca="1">INDIRECT(ADDRESS(35,6))&amp;":"&amp;INDIRECT(ADDRESS(35,7))</f>
        <v>13:7</v>
      </c>
      <c r="K14" s="21" t="s">
        <v>4</v>
      </c>
      <c r="L14" s="87">
        <f ca="1">IF(COUNT(F15:K15)=0,"",COUNTIF(F15:K15,"&gt;0")+0.5*COUNTIF(F15:K15,0))</f>
        <v>1</v>
      </c>
      <c r="M14" s="13"/>
      <c r="N14" s="89">
        <v>5</v>
      </c>
    </row>
    <row r="15" spans="1:14" ht="24" customHeight="1" thickBot="1" x14ac:dyDescent="0.3">
      <c r="A15" s="6"/>
      <c r="B15" s="80"/>
      <c r="C15" s="84"/>
      <c r="D15" s="85"/>
      <c r="E15" s="86"/>
      <c r="F15" s="22">
        <f ca="1">IF(LEN(INDIRECT(ADDRESS(ROW()-1, COLUMN())))=1,"",INDIRECT(ADDRESS(20,7))-INDIRECT(ADDRESS(20,6)))</f>
        <v>-3</v>
      </c>
      <c r="G15" s="23">
        <f ca="1">IF(LEN(INDIRECT(ADDRESS(ROW()-1, COLUMN())))=1,"",INDIRECT(ADDRESS(30,7))-INDIRECT(ADDRESS(30,6)))</f>
        <v>-6</v>
      </c>
      <c r="H15" s="23">
        <f ca="1">IF(LEN(INDIRECT(ADDRESS(ROW()-1, COLUMN())))=1,"",INDIRECT(ADDRESS(40,7))-INDIRECT(ADDRESS(40,6)))</f>
        <v>-6</v>
      </c>
      <c r="I15" s="23">
        <f ca="1">IF(LEN(INDIRECT(ADDRESS(ROW()-1, COLUMN())))=1,"",INDIRECT(ADDRESS(25,6))-INDIRECT(ADDRESS(25,7)))</f>
        <v>-9</v>
      </c>
      <c r="J15" s="23">
        <f ca="1">IF(LEN(INDIRECT(ADDRESS(ROW()-1, COLUMN())))=1,"",INDIRECT(ADDRESS(35,6))-INDIRECT(ADDRESS(35,7)))</f>
        <v>6</v>
      </c>
      <c r="K15" s="24" t="s">
        <v>4</v>
      </c>
      <c r="L15" s="88"/>
      <c r="M15" s="23">
        <f ca="1">IF(COUNT(F15:K15)=0,"",SUM(F15:K15))</f>
        <v>-18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Гулинин Евгений</v>
      </c>
      <c r="D20" s="75"/>
      <c r="E20" s="76"/>
      <c r="F20" s="26">
        <v>13</v>
      </c>
      <c r="G20" s="27">
        <v>10</v>
      </c>
      <c r="H20" s="77" t="str">
        <f ca="1">IF(ISBLANK(INDIRECT(ADDRESS(K20*2+2,3))),"",INDIRECT(ADDRESS(K20*2+2,3)))</f>
        <v>Земцов Сергей</v>
      </c>
      <c r="I20" s="75"/>
      <c r="J20" s="75"/>
      <c r="K20" s="25">
        <v>6</v>
      </c>
      <c r="L20" s="28" t="s">
        <v>6</v>
      </c>
      <c r="M20" s="29">
        <v>4</v>
      </c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Карасев Виталий</v>
      </c>
      <c r="D21" s="75"/>
      <c r="E21" s="76"/>
      <c r="F21" s="26">
        <v>13</v>
      </c>
      <c r="G21" s="27">
        <v>7</v>
      </c>
      <c r="H21" s="77" t="str">
        <f ca="1">IF(ISBLANK(INDIRECT(ADDRESS(K21*2+2,3))),"",INDIRECT(ADDRESS(K21*2+2,3)))</f>
        <v>Дружинин Олег</v>
      </c>
      <c r="I21" s="75"/>
      <c r="J21" s="75"/>
      <c r="K21" s="25">
        <v>5</v>
      </c>
      <c r="L21" s="28" t="s">
        <v>6</v>
      </c>
      <c r="M21" s="29">
        <v>5</v>
      </c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Гаджиев Сеявуш</v>
      </c>
      <c r="D22" s="75"/>
      <c r="E22" s="76"/>
      <c r="F22" s="26">
        <v>13</v>
      </c>
      <c r="G22" s="27">
        <v>1</v>
      </c>
      <c r="H22" s="77" t="str">
        <f ca="1">IF(ISBLANK(INDIRECT(ADDRESS(K22*2+2,3))),"",INDIRECT(ADDRESS(K22*2+2,3)))</f>
        <v>Трофимов Денис</v>
      </c>
      <c r="I22" s="75"/>
      <c r="J22" s="75"/>
      <c r="K22" s="25">
        <v>4</v>
      </c>
      <c r="L22" s="28" t="s">
        <v>6</v>
      </c>
      <c r="M22" s="29">
        <v>6</v>
      </c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Земцов Сергей</v>
      </c>
      <c r="D25" s="75"/>
      <c r="E25" s="76"/>
      <c r="F25" s="26">
        <v>4</v>
      </c>
      <c r="G25" s="27">
        <v>13</v>
      </c>
      <c r="H25" s="77" t="str">
        <f ca="1">IF(ISBLANK(INDIRECT(ADDRESS(K25*2+2,3))),"",INDIRECT(ADDRESS(K25*2+2,3)))</f>
        <v>Трофимов Денис</v>
      </c>
      <c r="I25" s="75"/>
      <c r="J25" s="75"/>
      <c r="K25" s="25">
        <v>4</v>
      </c>
      <c r="L25" s="28" t="s">
        <v>6</v>
      </c>
      <c r="M25" s="29">
        <v>1</v>
      </c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Дружинин Олег</v>
      </c>
      <c r="D26" s="75"/>
      <c r="E26" s="76"/>
      <c r="F26" s="26">
        <v>5</v>
      </c>
      <c r="G26" s="27">
        <v>13</v>
      </c>
      <c r="H26" s="77" t="str">
        <f ca="1">IF(ISBLANK(INDIRECT(ADDRESS(K26*2+2,3))),"",INDIRECT(ADDRESS(K26*2+2,3)))</f>
        <v>Гаджиев Сеявуш</v>
      </c>
      <c r="I26" s="75"/>
      <c r="J26" s="75"/>
      <c r="K26" s="25">
        <v>3</v>
      </c>
      <c r="L26" s="28" t="s">
        <v>6</v>
      </c>
      <c r="M26" s="29">
        <v>2</v>
      </c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Гулинин Евгений</v>
      </c>
      <c r="D27" s="75"/>
      <c r="E27" s="76"/>
      <c r="F27" s="26">
        <v>13</v>
      </c>
      <c r="G27" s="27">
        <v>4</v>
      </c>
      <c r="H27" s="77" t="str">
        <f ca="1">IF(ISBLANK(INDIRECT(ADDRESS(K27*2+2,3))),"",INDIRECT(ADDRESS(K27*2+2,3)))</f>
        <v>Карасев Виталий</v>
      </c>
      <c r="I27" s="75"/>
      <c r="J27" s="75"/>
      <c r="K27" s="25">
        <v>2</v>
      </c>
      <c r="L27" s="28" t="s">
        <v>6</v>
      </c>
      <c r="M27" s="29">
        <v>3</v>
      </c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Карасев Виталий</v>
      </c>
      <c r="D30" s="75"/>
      <c r="E30" s="76"/>
      <c r="F30" s="26">
        <v>13</v>
      </c>
      <c r="G30" s="27">
        <v>7</v>
      </c>
      <c r="H30" s="77" t="str">
        <f ca="1">IF(ISBLANK(INDIRECT(ADDRESS(K30*2+2,3))),"",INDIRECT(ADDRESS(K30*2+2,3)))</f>
        <v>Земцов Сергей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Гаджиев Сеявуш</v>
      </c>
      <c r="D31" s="75"/>
      <c r="E31" s="76"/>
      <c r="F31" s="26">
        <v>13</v>
      </c>
      <c r="G31" s="27">
        <v>3</v>
      </c>
      <c r="H31" s="77" t="str">
        <f ca="1">IF(ISBLANK(INDIRECT(ADDRESS(K31*2+2,3))),"",INDIRECT(ADDRESS(K31*2+2,3)))</f>
        <v>Гулинин Евгений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Трофимов Денис</v>
      </c>
      <c r="D32" s="75"/>
      <c r="E32" s="76"/>
      <c r="F32" s="26">
        <v>13</v>
      </c>
      <c r="G32" s="27">
        <v>6</v>
      </c>
      <c r="H32" s="77" t="str">
        <f ca="1">IF(ISBLANK(INDIRECT(ADDRESS(K32*2+2,3))),"",INDIRECT(ADDRESS(K32*2+2,3)))</f>
        <v>Дружинин Олег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Земцов Сергей</v>
      </c>
      <c r="D35" s="75"/>
      <c r="E35" s="76"/>
      <c r="F35" s="26">
        <v>13</v>
      </c>
      <c r="G35" s="27">
        <v>7</v>
      </c>
      <c r="H35" s="77" t="str">
        <f ca="1">IF(ISBLANK(INDIRECT(ADDRESS(K35*2+2,3))),"",INDIRECT(ADDRESS(K35*2+2,3)))</f>
        <v>Дружинин Олег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Гулинин Евгений</v>
      </c>
      <c r="D36" s="75"/>
      <c r="E36" s="76"/>
      <c r="F36" s="26">
        <v>13</v>
      </c>
      <c r="G36" s="27">
        <v>8</v>
      </c>
      <c r="H36" s="77" t="str">
        <f ca="1">IF(ISBLANK(INDIRECT(ADDRESS(K36*2+2,3))),"",INDIRECT(ADDRESS(K36*2+2,3)))</f>
        <v>Трофимов Денис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Карасев Виталий</v>
      </c>
      <c r="D37" s="75"/>
      <c r="E37" s="76"/>
      <c r="F37" s="26">
        <v>13</v>
      </c>
      <c r="G37" s="27">
        <v>9</v>
      </c>
      <c r="H37" s="77" t="str">
        <f ca="1">IF(ISBLANK(INDIRECT(ADDRESS(K37*2+2,3))),"",INDIRECT(ADDRESS(K37*2+2,3)))</f>
        <v>Гаджиев Сеявуш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Гаджиев Сеявуш</v>
      </c>
      <c r="D40" s="75"/>
      <c r="E40" s="76"/>
      <c r="F40" s="26">
        <v>13</v>
      </c>
      <c r="G40" s="27">
        <v>7</v>
      </c>
      <c r="H40" s="77" t="str">
        <f ca="1">IF(ISBLANK(INDIRECT(ADDRESS(K40*2+2,3))),"",INDIRECT(ADDRESS(K40*2+2,3)))</f>
        <v>Земцов Сергей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Трофимов Денис</v>
      </c>
      <c r="D41" s="75"/>
      <c r="E41" s="76"/>
      <c r="F41" s="26">
        <v>13</v>
      </c>
      <c r="G41" s="27">
        <v>2</v>
      </c>
      <c r="H41" s="77" t="str">
        <f ca="1">IF(ISBLANK(INDIRECT(ADDRESS(K41*2+2,3))),"",INDIRECT(ADDRESS(K41*2+2,3)))</f>
        <v>Карасев Виталий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Дружинин Олег</v>
      </c>
      <c r="D42" s="75"/>
      <c r="E42" s="76"/>
      <c r="F42" s="26">
        <v>3</v>
      </c>
      <c r="G42" s="27">
        <v>13</v>
      </c>
      <c r="H42" s="77" t="str">
        <f ca="1">IF(ISBLANK(INDIRECT(ADDRESS(K42*2+2,3))),"",INDIRECT(ADDRESS(K42*2+2,3)))</f>
        <v>Гулинин Евгений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C14" sqref="C14:E15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4" ht="59.25" customHeight="1" x14ac:dyDescent="0.25">
      <c r="B1" s="97" t="s">
        <v>106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4" ht="15.75" thickBot="1" x14ac:dyDescent="0.3">
      <c r="M2"/>
    </row>
    <row r="3" spans="1:14" ht="30" customHeight="1" thickBot="1" x14ac:dyDescent="0.3">
      <c r="B3" s="7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4" t="s">
        <v>1</v>
      </c>
      <c r="M3" s="2" t="s">
        <v>2</v>
      </c>
      <c r="N3" s="5" t="s">
        <v>3</v>
      </c>
    </row>
    <row r="4" spans="1:14" ht="24" customHeight="1" x14ac:dyDescent="0.25">
      <c r="A4" s="6"/>
      <c r="B4" s="101">
        <v>1</v>
      </c>
      <c r="C4" s="109" t="s">
        <v>188</v>
      </c>
      <c r="D4" s="110"/>
      <c r="E4" s="111"/>
      <c r="F4" s="8" t="s">
        <v>4</v>
      </c>
      <c r="G4" s="9" t="str">
        <f ca="1">INDIRECT(ADDRESS(27,6))&amp;":"&amp;INDIRECT(ADDRESS(27,7))</f>
        <v>13:5</v>
      </c>
      <c r="H4" s="9" t="str">
        <f ca="1">INDIRECT(ADDRESS(31,7))&amp;":"&amp;INDIRECT(ADDRESS(31,6))</f>
        <v>13:8</v>
      </c>
      <c r="I4" s="9" t="str">
        <f ca="1">INDIRECT(ADDRESS(36,6))&amp;":"&amp;INDIRECT(ADDRESS(36,7))</f>
        <v>13:6</v>
      </c>
      <c r="J4" s="9" t="str">
        <f ca="1">INDIRECT(ADDRESS(42,7))&amp;":"&amp;INDIRECT(ADDRESS(42,6))</f>
        <v>13:9</v>
      </c>
      <c r="K4" s="10" t="str">
        <f ca="1">INDIRECT(ADDRESS(20,6))&amp;":"&amp;INDIRECT(ADDRESS(20,7))</f>
        <v>10:13</v>
      </c>
      <c r="L4" s="105">
        <f ca="1">IF(COUNT(F5:K5)=0,"",COUNTIF(F5:K5,"&gt;0")+0.5*COUNTIF(F5:K5,0))</f>
        <v>4</v>
      </c>
      <c r="M4" s="11"/>
      <c r="N4" s="96">
        <v>1</v>
      </c>
    </row>
    <row r="5" spans="1:14" ht="24" customHeight="1" x14ac:dyDescent="0.25">
      <c r="A5" s="6"/>
      <c r="B5" s="91"/>
      <c r="C5" s="93"/>
      <c r="D5" s="94"/>
      <c r="E5" s="95"/>
      <c r="F5" s="12" t="s">
        <v>4</v>
      </c>
      <c r="G5" s="13">
        <f ca="1">IF(LEN(INDIRECT(ADDRESS(ROW()-1, COLUMN())))=1,"",INDIRECT(ADDRESS(27,6))-INDIRECT(ADDRESS(27,7)))</f>
        <v>8</v>
      </c>
      <c r="H5" s="13">
        <f ca="1">IF(LEN(INDIRECT(ADDRESS(ROW()-1, COLUMN())))=1,"",INDIRECT(ADDRESS(31,7))-INDIRECT(ADDRESS(31,6)))</f>
        <v>5</v>
      </c>
      <c r="I5" s="13">
        <f ca="1">IF(LEN(INDIRECT(ADDRESS(ROW()-1, COLUMN())))=1,"",INDIRECT(ADDRESS(36,6))-INDIRECT(ADDRESS(36,7)))</f>
        <v>7</v>
      </c>
      <c r="J5" s="13">
        <f ca="1">IF(LEN(INDIRECT(ADDRESS(ROW()-1, COLUMN())))=1,"",INDIRECT(ADDRESS(42,7))-INDIRECT(ADDRESS(42,6)))</f>
        <v>4</v>
      </c>
      <c r="K5" s="14">
        <f ca="1">IF(LEN(INDIRECT(ADDRESS(ROW()-1, COLUMN())))=1,"",INDIRECT(ADDRESS(20,6))-INDIRECT(ADDRESS(20,7)))</f>
        <v>-3</v>
      </c>
      <c r="L5" s="87"/>
      <c r="M5" s="13">
        <f ca="1">IF(COUNT(F5:K5)=0,"",SUM(F5:K5))</f>
        <v>21</v>
      </c>
      <c r="N5" s="92"/>
    </row>
    <row r="6" spans="1:14" ht="24" customHeight="1" x14ac:dyDescent="0.25">
      <c r="A6" s="6"/>
      <c r="B6" s="79">
        <v>2</v>
      </c>
      <c r="C6" s="81" t="s">
        <v>189</v>
      </c>
      <c r="D6" s="82"/>
      <c r="E6" s="83"/>
      <c r="F6" s="15" t="str">
        <f ca="1">INDIRECT(ADDRESS(27,7))&amp;":"&amp;INDIRECT(ADDRESS(27,6))</f>
        <v>5:13</v>
      </c>
      <c r="G6" s="16" t="s">
        <v>4</v>
      </c>
      <c r="H6" s="17" t="str">
        <f ca="1">INDIRECT(ADDRESS(37,6))&amp;":"&amp;INDIRECT(ADDRESS(37,7))</f>
        <v>13:8</v>
      </c>
      <c r="I6" s="17" t="str">
        <f ca="1">INDIRECT(ADDRESS(41,7))&amp;":"&amp;INDIRECT(ADDRESS(41,6))</f>
        <v>8:13</v>
      </c>
      <c r="J6" s="17" t="str">
        <f ca="1">INDIRECT(ADDRESS(21,6))&amp;":"&amp;INDIRECT(ADDRESS(21,7))</f>
        <v>8:13</v>
      </c>
      <c r="K6" s="18" t="str">
        <f ca="1">INDIRECT(ADDRESS(30,6))&amp;":"&amp;INDIRECT(ADDRESS(30,7))</f>
        <v>13:10</v>
      </c>
      <c r="L6" s="87">
        <f ca="1">IF(COUNT(F7:K7)=0,"",COUNTIF(F7:K7,"&gt;0")+0.5*COUNTIF(F7:K7,0))</f>
        <v>2</v>
      </c>
      <c r="M6" s="13">
        <v>3</v>
      </c>
      <c r="N6" s="89">
        <v>4</v>
      </c>
    </row>
    <row r="7" spans="1:14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COLUMN())))=1,"",INDIRECT(ADDRESS(27,7))-INDIRECT(ADDRESS(27,6)))</f>
        <v>-8</v>
      </c>
      <c r="G7" s="20" t="s">
        <v>4</v>
      </c>
      <c r="H7" s="13">
        <f ca="1">IF(LEN(INDIRECT(ADDRESS(ROW()-1, COLUMN())))=1,"",INDIRECT(ADDRESS(37,6))-INDIRECT(ADDRESS(37,7)))</f>
        <v>5</v>
      </c>
      <c r="I7" s="13">
        <f ca="1">IF(LEN(INDIRECT(ADDRESS(ROW()-1, COLUMN())))=1,"",INDIRECT(ADDRESS(41,7))-INDIRECT(ADDRESS(41,6)))</f>
        <v>-5</v>
      </c>
      <c r="J7" s="13">
        <f ca="1">IF(LEN(INDIRECT(ADDRESS(ROW()-1, COLUMN())))=1,"",INDIRECT(ADDRESS(21,6))-INDIRECT(ADDRESS(21,7)))</f>
        <v>-5</v>
      </c>
      <c r="K7" s="14">
        <f ca="1">IF(LEN(INDIRECT(ADDRESS(ROW()-1, COLUMN())))=1,"",INDIRECT(ADDRESS(30,6))-INDIRECT(ADDRESS(30,7)))</f>
        <v>3</v>
      </c>
      <c r="L7" s="87"/>
      <c r="M7" s="13">
        <f ca="1">IF(COUNT(F7:K7)=0,"",SUM(F7:K7))</f>
        <v>-10</v>
      </c>
      <c r="N7" s="92"/>
    </row>
    <row r="8" spans="1:14" ht="24" customHeight="1" x14ac:dyDescent="0.25">
      <c r="A8" s="6"/>
      <c r="B8" s="79">
        <v>3</v>
      </c>
      <c r="C8" s="81" t="s">
        <v>190</v>
      </c>
      <c r="D8" s="82"/>
      <c r="E8" s="83"/>
      <c r="F8" s="15" t="str">
        <f ca="1">INDIRECT(ADDRESS(31,6))&amp;":"&amp;INDIRECT(ADDRESS(31,7))</f>
        <v>8:13</v>
      </c>
      <c r="G8" s="17" t="str">
        <f ca="1">INDIRECT(ADDRESS(37,7))&amp;":"&amp;INDIRECT(ADDRESS(37,6))</f>
        <v>8:13</v>
      </c>
      <c r="H8" s="16" t="s">
        <v>4</v>
      </c>
      <c r="I8" s="17" t="str">
        <f ca="1">INDIRECT(ADDRESS(22,6))&amp;":"&amp;INDIRECT(ADDRESS(22,7))</f>
        <v>13:9</v>
      </c>
      <c r="J8" s="17" t="str">
        <f ca="1">INDIRECT(ADDRESS(26,7))&amp;":"&amp;INDIRECT(ADDRESS(26,6))</f>
        <v>13:7</v>
      </c>
      <c r="K8" s="18" t="str">
        <f ca="1">INDIRECT(ADDRESS(40,6))&amp;":"&amp;INDIRECT(ADDRESS(40,7))</f>
        <v>2:13</v>
      </c>
      <c r="L8" s="87">
        <f ca="1">IF(COUNT(F9:K9)=0,"",COUNTIF(F9:K9,"&gt;0")+0.5*COUNTIF(F9:K9,0))</f>
        <v>2</v>
      </c>
      <c r="M8" s="13">
        <v>-10</v>
      </c>
      <c r="N8" s="89">
        <v>6</v>
      </c>
    </row>
    <row r="9" spans="1:14" ht="24" customHeight="1" x14ac:dyDescent="0.25">
      <c r="A9" s="6"/>
      <c r="B9" s="91"/>
      <c r="C9" s="81"/>
      <c r="D9" s="82"/>
      <c r="E9" s="83"/>
      <c r="F9" s="19">
        <f ca="1">IF(LEN(INDIRECT(ADDRESS(ROW()-1, COLUMN())))=1,"",INDIRECT(ADDRESS(31,6))-INDIRECT(ADDRESS(31,7)))</f>
        <v>-5</v>
      </c>
      <c r="G9" s="13">
        <f ca="1">IF(LEN(INDIRECT(ADDRESS(ROW()-1, COLUMN())))=1,"",INDIRECT(ADDRESS(37,7))-INDIRECT(ADDRESS(37,6)))</f>
        <v>-5</v>
      </c>
      <c r="H9" s="20" t="s">
        <v>4</v>
      </c>
      <c r="I9" s="13">
        <f ca="1">IF(LEN(INDIRECT(ADDRESS(ROW()-1, COLUMN())))=1,"",INDIRECT(ADDRESS(22,6))-INDIRECT(ADDRESS(22,7)))</f>
        <v>4</v>
      </c>
      <c r="J9" s="13">
        <f ca="1">IF(LEN(INDIRECT(ADDRESS(ROW()-1, COLUMN())))=1,"",INDIRECT(ADDRESS(26,7))-INDIRECT(ADDRESS(26,6)))</f>
        <v>6</v>
      </c>
      <c r="K9" s="14">
        <f ca="1">IF(LEN(INDIRECT(ADDRESS(ROW()-1, COLUMN())))=1,"",INDIRECT(ADDRESS(40,6))-INDIRECT(ADDRESS(40,7)))</f>
        <v>-11</v>
      </c>
      <c r="L9" s="87"/>
      <c r="M9" s="13">
        <f ca="1">IF(COUNT(F9:K9)=0,"",SUM(F9:K9))</f>
        <v>-11</v>
      </c>
      <c r="N9" s="92"/>
    </row>
    <row r="10" spans="1:14" ht="24" customHeight="1" x14ac:dyDescent="0.25">
      <c r="A10" s="6"/>
      <c r="B10" s="79">
        <v>4</v>
      </c>
      <c r="C10" s="93" t="s">
        <v>191</v>
      </c>
      <c r="D10" s="94"/>
      <c r="E10" s="95"/>
      <c r="F10" s="15" t="str">
        <f ca="1">INDIRECT(ADDRESS(36,7))&amp;":"&amp;INDIRECT(ADDRESS(36,6))</f>
        <v>6:13</v>
      </c>
      <c r="G10" s="17" t="str">
        <f ca="1">INDIRECT(ADDRESS(41,6))&amp;":"&amp;INDIRECT(ADDRESS(41,7))</f>
        <v>13:8</v>
      </c>
      <c r="H10" s="17" t="str">
        <f ca="1">INDIRECT(ADDRESS(22,7))&amp;":"&amp;INDIRECT(ADDRESS(22,6))</f>
        <v>9:13</v>
      </c>
      <c r="I10" s="16" t="s">
        <v>4</v>
      </c>
      <c r="J10" s="17" t="str">
        <f ca="1">INDIRECT(ADDRESS(32,6))&amp;":"&amp;INDIRECT(ADDRESS(32,7))</f>
        <v>13:7</v>
      </c>
      <c r="K10" s="18" t="str">
        <f ca="1">INDIRECT(ADDRESS(25,7))&amp;":"&amp;INDIRECT(ADDRESS(25,6))</f>
        <v>13:10</v>
      </c>
      <c r="L10" s="87">
        <f ca="1">IF(COUNT(F11:K11)=0,"",COUNTIF(F11:K11,"&gt;0")+0.5*COUNTIF(F11:K11,0))</f>
        <v>3</v>
      </c>
      <c r="M10" s="13"/>
      <c r="N10" s="89">
        <v>2</v>
      </c>
    </row>
    <row r="11" spans="1:14" ht="24" customHeight="1" x14ac:dyDescent="0.25">
      <c r="A11" s="6"/>
      <c r="B11" s="91"/>
      <c r="C11" s="93"/>
      <c r="D11" s="94"/>
      <c r="E11" s="95"/>
      <c r="F11" s="19">
        <f ca="1">IF(LEN(INDIRECT(ADDRESS(ROW()-1, COLUMN())))=1,"",INDIRECT(ADDRESS(36,7))-INDIRECT(ADDRESS(36,6)))</f>
        <v>-7</v>
      </c>
      <c r="G11" s="13">
        <f ca="1">IF(LEN(INDIRECT(ADDRESS(ROW()-1, COLUMN())))=1,"",INDIRECT(ADDRESS(41,6))-INDIRECT(ADDRESS(41,7)))</f>
        <v>5</v>
      </c>
      <c r="H11" s="13">
        <f ca="1">IF(LEN(INDIRECT(ADDRESS(ROW()-1, COLUMN())))=1,"",INDIRECT(ADDRESS(22,7))-INDIRECT(ADDRESS(22,6)))</f>
        <v>-4</v>
      </c>
      <c r="I11" s="20" t="s">
        <v>4</v>
      </c>
      <c r="J11" s="13">
        <f ca="1">IF(LEN(INDIRECT(ADDRESS(ROW()-1, COLUMN())))=1,"",INDIRECT(ADDRESS(32,6))-INDIRECT(ADDRESS(32,7)))</f>
        <v>6</v>
      </c>
      <c r="K11" s="14">
        <f ca="1">IF(LEN(INDIRECT(ADDRESS(ROW()-1, COLUMN())))=1,"",INDIRECT(ADDRESS(25,7))-INDIRECT(ADDRESS(25,6)))</f>
        <v>3</v>
      </c>
      <c r="L11" s="87"/>
      <c r="M11" s="13">
        <f ca="1">IF(COUNT(F11:K11)=0,"",SUM(F11:K11))</f>
        <v>3</v>
      </c>
      <c r="N11" s="92"/>
    </row>
    <row r="12" spans="1:14" ht="24" customHeight="1" x14ac:dyDescent="0.25">
      <c r="A12" s="6"/>
      <c r="B12" s="79">
        <v>5</v>
      </c>
      <c r="C12" s="81" t="s">
        <v>192</v>
      </c>
      <c r="D12" s="82"/>
      <c r="E12" s="83"/>
      <c r="F12" s="15" t="str">
        <f ca="1">INDIRECT(ADDRESS(42,6))&amp;":"&amp;INDIRECT(ADDRESS(42,7))</f>
        <v>9:13</v>
      </c>
      <c r="G12" s="17" t="str">
        <f ca="1">INDIRECT(ADDRESS(21,7))&amp;":"&amp;INDIRECT(ADDRESS(21,6))</f>
        <v>13:8</v>
      </c>
      <c r="H12" s="17" t="str">
        <f ca="1">INDIRECT(ADDRESS(26,6))&amp;":"&amp;INDIRECT(ADDRESS(26,7))</f>
        <v>7:13</v>
      </c>
      <c r="I12" s="17" t="str">
        <f ca="1">INDIRECT(ADDRESS(32,7))&amp;":"&amp;INDIRECT(ADDRESS(32,6))</f>
        <v>7:13</v>
      </c>
      <c r="J12" s="16" t="s">
        <v>4</v>
      </c>
      <c r="K12" s="18" t="str">
        <f ca="1">INDIRECT(ADDRESS(35,7))&amp;":"&amp;INDIRECT(ADDRESS(35,6))</f>
        <v>13:8</v>
      </c>
      <c r="L12" s="87">
        <f ca="1">IF(COUNT(F13:K13)=0,"",COUNTIF(F13:K13,"&gt;0")+0.5*COUNTIF(F13:K13,0))</f>
        <v>2</v>
      </c>
      <c r="M12" s="13">
        <v>4</v>
      </c>
      <c r="N12" s="89">
        <v>3</v>
      </c>
    </row>
    <row r="13" spans="1:14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COLUMN())))=1,"",INDIRECT(ADDRESS(42,6))-INDIRECT(ADDRESS(42,7)))</f>
        <v>-4</v>
      </c>
      <c r="G13" s="13">
        <f ca="1">IF(LEN(INDIRECT(ADDRESS(ROW()-1, COLUMN())))=1,"",INDIRECT(ADDRESS(21,7))-INDIRECT(ADDRESS(21,6)))</f>
        <v>5</v>
      </c>
      <c r="H13" s="13">
        <f ca="1">IF(LEN(INDIRECT(ADDRESS(ROW()-1, COLUMN())))=1,"",INDIRECT(ADDRESS(26,6))-INDIRECT(ADDRESS(26,7)))</f>
        <v>-6</v>
      </c>
      <c r="I13" s="13">
        <f ca="1">IF(LEN(INDIRECT(ADDRESS(ROW()-1, COLUMN())))=1,"",INDIRECT(ADDRESS(32,7))-INDIRECT(ADDRESS(32,6)))</f>
        <v>-6</v>
      </c>
      <c r="J13" s="20" t="s">
        <v>4</v>
      </c>
      <c r="K13" s="14">
        <f ca="1">IF(LEN(INDIRECT(ADDRESS(ROW()-1, COLUMN())))=1,"",INDIRECT(ADDRESS(35,7))-INDIRECT(ADDRESS(35,6)))</f>
        <v>5</v>
      </c>
      <c r="L13" s="87"/>
      <c r="M13" s="13">
        <f ca="1">IF(COUNT(F13:K13)=0,"",SUM(F13:K13))</f>
        <v>-6</v>
      </c>
      <c r="N13" s="92"/>
    </row>
    <row r="14" spans="1:14" ht="24" customHeight="1" x14ac:dyDescent="0.25">
      <c r="A14" s="6"/>
      <c r="B14" s="79">
        <v>6</v>
      </c>
      <c r="C14" s="81" t="s">
        <v>193</v>
      </c>
      <c r="D14" s="82"/>
      <c r="E14" s="83"/>
      <c r="F14" s="15" t="str">
        <f ca="1">INDIRECT(ADDRESS(20,7))&amp;":"&amp;INDIRECT(ADDRESS(20,6))</f>
        <v>13:10</v>
      </c>
      <c r="G14" s="17" t="str">
        <f ca="1">INDIRECT(ADDRESS(30,7))&amp;":"&amp;INDIRECT(ADDRESS(30,6))</f>
        <v>10:13</v>
      </c>
      <c r="H14" s="17" t="str">
        <f ca="1">INDIRECT(ADDRESS(40,7))&amp;":"&amp;INDIRECT(ADDRESS(40,6))</f>
        <v>13:2</v>
      </c>
      <c r="I14" s="17" t="str">
        <f ca="1">INDIRECT(ADDRESS(25,6))&amp;":"&amp;INDIRECT(ADDRESS(25,7))</f>
        <v>10:13</v>
      </c>
      <c r="J14" s="17" t="str">
        <f ca="1">INDIRECT(ADDRESS(35,6))&amp;":"&amp;INDIRECT(ADDRESS(35,7))</f>
        <v>8:13</v>
      </c>
      <c r="K14" s="21" t="s">
        <v>4</v>
      </c>
      <c r="L14" s="87">
        <f ca="1">IF(COUNT(F15:K15)=0,"",COUNTIF(F15:K15,"&gt;0")+0.5*COUNTIF(F15:K15,0))</f>
        <v>2</v>
      </c>
      <c r="M14" s="13">
        <v>3</v>
      </c>
      <c r="N14" s="89">
        <v>5</v>
      </c>
    </row>
    <row r="15" spans="1:14" ht="24" customHeight="1" thickBot="1" x14ac:dyDescent="0.3">
      <c r="A15" s="6"/>
      <c r="B15" s="80"/>
      <c r="C15" s="84"/>
      <c r="D15" s="85"/>
      <c r="E15" s="86"/>
      <c r="F15" s="22">
        <f ca="1">IF(LEN(INDIRECT(ADDRESS(ROW()-1, COLUMN())))=1,"",INDIRECT(ADDRESS(20,7))-INDIRECT(ADDRESS(20,6)))</f>
        <v>3</v>
      </c>
      <c r="G15" s="23">
        <f ca="1">IF(LEN(INDIRECT(ADDRESS(ROW()-1, COLUMN())))=1,"",INDIRECT(ADDRESS(30,7))-INDIRECT(ADDRESS(30,6)))</f>
        <v>-3</v>
      </c>
      <c r="H15" s="23">
        <f ca="1">IF(LEN(INDIRECT(ADDRESS(ROW()-1, COLUMN())))=1,"",INDIRECT(ADDRESS(40,7))-INDIRECT(ADDRESS(40,6)))</f>
        <v>11</v>
      </c>
      <c r="I15" s="23">
        <f ca="1">IF(LEN(INDIRECT(ADDRESS(ROW()-1, COLUMN())))=1,"",INDIRECT(ADDRESS(25,6))-INDIRECT(ADDRESS(25,7)))</f>
        <v>-3</v>
      </c>
      <c r="J15" s="23">
        <f ca="1">IF(LEN(INDIRECT(ADDRESS(ROW()-1, COLUMN())))=1,"",INDIRECT(ADDRESS(35,6))-INDIRECT(ADDRESS(35,7)))</f>
        <v>-5</v>
      </c>
      <c r="K15" s="24" t="s">
        <v>4</v>
      </c>
      <c r="L15" s="88"/>
      <c r="M15" s="23">
        <f ca="1">IF(COUNT(F15:K15)=0,"",SUM(F15:K15))</f>
        <v>3</v>
      </c>
      <c r="N15" s="90"/>
    </row>
    <row r="16" spans="1:14" x14ac:dyDescent="0.25">
      <c r="M16"/>
    </row>
    <row r="17" spans="2:13" x14ac:dyDescent="0.25">
      <c r="M17"/>
    </row>
    <row r="18" spans="2:13" x14ac:dyDescent="0.25">
      <c r="M18"/>
    </row>
    <row r="19" spans="2:13" ht="30" customHeight="1" thickBot="1" x14ac:dyDescent="0.3">
      <c r="B19" s="78" t="s">
        <v>5</v>
      </c>
      <c r="C19" s="78"/>
      <c r="D19" s="78"/>
      <c r="E19" s="78"/>
      <c r="F19" s="78"/>
      <c r="G19" s="78"/>
      <c r="H19" s="78"/>
      <c r="I19" s="78"/>
      <c r="J19" s="78"/>
      <c r="K19" s="78"/>
      <c r="M19"/>
    </row>
    <row r="20" spans="2:13" ht="30" customHeight="1" thickBot="1" x14ac:dyDescent="0.3">
      <c r="B20" s="25">
        <v>1</v>
      </c>
      <c r="C20" s="75" t="str">
        <f ca="1">IF(ISBLANK(INDIRECT(ADDRESS(B20*2+2,3))),"",INDIRECT(ADDRESS(B20*2+2,3)))</f>
        <v>Догадин Евгений</v>
      </c>
      <c r="D20" s="75"/>
      <c r="E20" s="76"/>
      <c r="F20" s="26">
        <v>10</v>
      </c>
      <c r="G20" s="27">
        <v>13</v>
      </c>
      <c r="H20" s="77" t="str">
        <f ca="1">IF(ISBLANK(INDIRECT(ADDRESS(K20*2+2,3))),"",INDIRECT(ADDRESS(K20*2+2,3)))</f>
        <v>Аниськин Сергей</v>
      </c>
      <c r="I20" s="75"/>
      <c r="J20" s="75"/>
      <c r="K20" s="25">
        <v>6</v>
      </c>
      <c r="L20" s="28" t="s">
        <v>6</v>
      </c>
      <c r="M20" s="29"/>
    </row>
    <row r="21" spans="2:13" ht="30" customHeight="1" thickBot="1" x14ac:dyDescent="0.3">
      <c r="B21" s="25">
        <v>2</v>
      </c>
      <c r="C21" s="75" t="str">
        <f ca="1">IF(ISBLANK(INDIRECT(ADDRESS(B21*2+2,3))),"",INDIRECT(ADDRESS(B21*2+2,3)))</f>
        <v>Акимов Сергей</v>
      </c>
      <c r="D21" s="75"/>
      <c r="E21" s="76"/>
      <c r="F21" s="26">
        <v>8</v>
      </c>
      <c r="G21" s="27">
        <v>13</v>
      </c>
      <c r="H21" s="77" t="str">
        <f ca="1">IF(ISBLANK(INDIRECT(ADDRESS(K21*2+2,3))),"",INDIRECT(ADDRESS(K21*2+2,3)))</f>
        <v>Стрельчук Дмитрий</v>
      </c>
      <c r="I21" s="75"/>
      <c r="J21" s="75"/>
      <c r="K21" s="25">
        <v>5</v>
      </c>
      <c r="L21" s="28" t="s">
        <v>6</v>
      </c>
      <c r="M21" s="29"/>
    </row>
    <row r="22" spans="2:13" ht="30" customHeight="1" thickBot="1" x14ac:dyDescent="0.3">
      <c r="B22" s="25">
        <v>3</v>
      </c>
      <c r="C22" s="75" t="str">
        <f ca="1">IF(ISBLANK(INDIRECT(ADDRESS(B22*2+2,3))),"",INDIRECT(ADDRESS(B22*2+2,3)))</f>
        <v>Гришков Сергей</v>
      </c>
      <c r="D22" s="75"/>
      <c r="E22" s="76"/>
      <c r="F22" s="26">
        <v>13</v>
      </c>
      <c r="G22" s="27">
        <v>9</v>
      </c>
      <c r="H22" s="77" t="str">
        <f ca="1">IF(ISBLANK(INDIRECT(ADDRESS(K22*2+2,3))),"",INDIRECT(ADDRESS(K22*2+2,3)))</f>
        <v>Костин Юрий</v>
      </c>
      <c r="I22" s="75"/>
      <c r="J22" s="75"/>
      <c r="K22" s="25">
        <v>4</v>
      </c>
      <c r="L22" s="28" t="s">
        <v>6</v>
      </c>
      <c r="M22" s="29"/>
    </row>
    <row r="23" spans="2:13" ht="30" customHeight="1" x14ac:dyDescent="0.25"/>
    <row r="24" spans="2:13" ht="30" customHeight="1" thickBot="1" x14ac:dyDescent="0.3">
      <c r="B24" s="78" t="s">
        <v>7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3" ht="30" customHeight="1" thickBot="1" x14ac:dyDescent="0.3">
      <c r="B25" s="25">
        <v>6</v>
      </c>
      <c r="C25" s="75" t="str">
        <f ca="1">IF(ISBLANK(INDIRECT(ADDRESS(B25*2+2,3))),"",INDIRECT(ADDRESS(B25*2+2,3)))</f>
        <v>Аниськин Сергей</v>
      </c>
      <c r="D25" s="75"/>
      <c r="E25" s="76"/>
      <c r="F25" s="26">
        <v>10</v>
      </c>
      <c r="G25" s="27">
        <v>13</v>
      </c>
      <c r="H25" s="77" t="str">
        <f ca="1">IF(ISBLANK(INDIRECT(ADDRESS(K25*2+2,3))),"",INDIRECT(ADDRESS(K25*2+2,3)))</f>
        <v>Костин Юрий</v>
      </c>
      <c r="I25" s="75"/>
      <c r="J25" s="75"/>
      <c r="K25" s="25">
        <v>4</v>
      </c>
      <c r="L25" s="28" t="s">
        <v>6</v>
      </c>
      <c r="M25" s="29"/>
    </row>
    <row r="26" spans="2:13" ht="30" customHeight="1" thickBot="1" x14ac:dyDescent="0.3">
      <c r="B26" s="25">
        <v>5</v>
      </c>
      <c r="C26" s="75" t="str">
        <f ca="1">IF(ISBLANK(INDIRECT(ADDRESS(B26*2+2,3))),"",INDIRECT(ADDRESS(B26*2+2,3)))</f>
        <v>Стрельчук Дмитрий</v>
      </c>
      <c r="D26" s="75"/>
      <c r="E26" s="76"/>
      <c r="F26" s="26">
        <v>7</v>
      </c>
      <c r="G26" s="27">
        <v>13</v>
      </c>
      <c r="H26" s="77" t="str">
        <f ca="1">IF(ISBLANK(INDIRECT(ADDRESS(K26*2+2,3))),"",INDIRECT(ADDRESS(K26*2+2,3)))</f>
        <v>Гришков Сергей</v>
      </c>
      <c r="I26" s="75"/>
      <c r="J26" s="75"/>
      <c r="K26" s="25">
        <v>3</v>
      </c>
      <c r="L26" s="28" t="s">
        <v>6</v>
      </c>
      <c r="M26" s="29"/>
    </row>
    <row r="27" spans="2:13" ht="30" customHeight="1" thickBot="1" x14ac:dyDescent="0.3">
      <c r="B27" s="25">
        <v>1</v>
      </c>
      <c r="C27" s="75" t="str">
        <f ca="1">IF(ISBLANK(INDIRECT(ADDRESS(B27*2+2,3))),"",INDIRECT(ADDRESS(B27*2+2,3)))</f>
        <v>Догадин Евгений</v>
      </c>
      <c r="D27" s="75"/>
      <c r="E27" s="76"/>
      <c r="F27" s="26">
        <v>13</v>
      </c>
      <c r="G27" s="27">
        <v>5</v>
      </c>
      <c r="H27" s="77" t="str">
        <f ca="1">IF(ISBLANK(INDIRECT(ADDRESS(K27*2+2,3))),"",INDIRECT(ADDRESS(K27*2+2,3)))</f>
        <v>Акимов Сергей</v>
      </c>
      <c r="I27" s="75"/>
      <c r="J27" s="75"/>
      <c r="K27" s="25">
        <v>2</v>
      </c>
      <c r="L27" s="28" t="s">
        <v>6</v>
      </c>
      <c r="M27" s="29"/>
    </row>
    <row r="28" spans="2:13" ht="30" customHeight="1" x14ac:dyDescent="0.25"/>
    <row r="29" spans="2:13" ht="30" customHeight="1" thickBot="1" x14ac:dyDescent="0.3">
      <c r="B29" s="78" t="s">
        <v>8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3" ht="30" customHeight="1" thickBot="1" x14ac:dyDescent="0.3">
      <c r="B30" s="25">
        <v>2</v>
      </c>
      <c r="C30" s="75" t="str">
        <f ca="1">IF(ISBLANK(INDIRECT(ADDRESS(B30*2+2,3))),"",INDIRECT(ADDRESS(B30*2+2,3)))</f>
        <v>Акимов Сергей</v>
      </c>
      <c r="D30" s="75"/>
      <c r="E30" s="76"/>
      <c r="F30" s="26">
        <v>13</v>
      </c>
      <c r="G30" s="27">
        <v>10</v>
      </c>
      <c r="H30" s="77" t="str">
        <f ca="1">IF(ISBLANK(INDIRECT(ADDRESS(K30*2+2,3))),"",INDIRECT(ADDRESS(K30*2+2,3)))</f>
        <v>Аниськин Сергей</v>
      </c>
      <c r="I30" s="75"/>
      <c r="J30" s="75"/>
      <c r="K30" s="25">
        <v>6</v>
      </c>
      <c r="L30" s="28" t="s">
        <v>6</v>
      </c>
      <c r="M30" s="29"/>
    </row>
    <row r="31" spans="2:13" ht="30" customHeight="1" thickBot="1" x14ac:dyDescent="0.3">
      <c r="B31" s="25">
        <v>3</v>
      </c>
      <c r="C31" s="75" t="str">
        <f ca="1">IF(ISBLANK(INDIRECT(ADDRESS(B31*2+2,3))),"",INDIRECT(ADDRESS(B31*2+2,3)))</f>
        <v>Гришков Сергей</v>
      </c>
      <c r="D31" s="75"/>
      <c r="E31" s="76"/>
      <c r="F31" s="26">
        <v>8</v>
      </c>
      <c r="G31" s="27">
        <v>13</v>
      </c>
      <c r="H31" s="77" t="str">
        <f ca="1">IF(ISBLANK(INDIRECT(ADDRESS(K31*2+2,3))),"",INDIRECT(ADDRESS(K31*2+2,3)))</f>
        <v>Догадин Евгений</v>
      </c>
      <c r="I31" s="75"/>
      <c r="J31" s="75"/>
      <c r="K31" s="25">
        <v>1</v>
      </c>
      <c r="L31" s="28" t="s">
        <v>6</v>
      </c>
      <c r="M31" s="29"/>
    </row>
    <row r="32" spans="2:13" ht="30" customHeight="1" thickBot="1" x14ac:dyDescent="0.3">
      <c r="B32" s="25">
        <v>4</v>
      </c>
      <c r="C32" s="75" t="str">
        <f ca="1">IF(ISBLANK(INDIRECT(ADDRESS(B32*2+2,3))),"",INDIRECT(ADDRESS(B32*2+2,3)))</f>
        <v>Костин Юрий</v>
      </c>
      <c r="D32" s="75"/>
      <c r="E32" s="76"/>
      <c r="F32" s="26">
        <v>13</v>
      </c>
      <c r="G32" s="27">
        <v>7</v>
      </c>
      <c r="H32" s="77" t="str">
        <f ca="1">IF(ISBLANK(INDIRECT(ADDRESS(K32*2+2,3))),"",INDIRECT(ADDRESS(K32*2+2,3)))</f>
        <v>Стрельчук Дмитрий</v>
      </c>
      <c r="I32" s="75"/>
      <c r="J32" s="75"/>
      <c r="K32" s="25">
        <v>5</v>
      </c>
      <c r="L32" s="28" t="s">
        <v>6</v>
      </c>
      <c r="M32" s="29"/>
    </row>
    <row r="33" spans="2:13" ht="30" customHeight="1" x14ac:dyDescent="0.25"/>
    <row r="34" spans="2:13" ht="30" customHeight="1" thickBot="1" x14ac:dyDescent="0.3">
      <c r="B34" s="78" t="s">
        <v>9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3" ht="30" customHeight="1" thickBot="1" x14ac:dyDescent="0.3">
      <c r="B35" s="25">
        <v>6</v>
      </c>
      <c r="C35" s="75" t="str">
        <f ca="1">IF(ISBLANK(INDIRECT(ADDRESS(B35*2+2,3))),"",INDIRECT(ADDRESS(B35*2+2,3)))</f>
        <v>Аниськин Сергей</v>
      </c>
      <c r="D35" s="75"/>
      <c r="E35" s="76"/>
      <c r="F35" s="26">
        <v>8</v>
      </c>
      <c r="G35" s="27">
        <v>13</v>
      </c>
      <c r="H35" s="77" t="str">
        <f ca="1">IF(ISBLANK(INDIRECT(ADDRESS(K35*2+2,3))),"",INDIRECT(ADDRESS(K35*2+2,3)))</f>
        <v>Стрельчук Дмитрий</v>
      </c>
      <c r="I35" s="75"/>
      <c r="J35" s="75"/>
      <c r="K35" s="25">
        <v>5</v>
      </c>
      <c r="L35" s="28" t="s">
        <v>6</v>
      </c>
      <c r="M35" s="29"/>
    </row>
    <row r="36" spans="2:13" ht="30" customHeight="1" thickBot="1" x14ac:dyDescent="0.3">
      <c r="B36" s="25">
        <v>1</v>
      </c>
      <c r="C36" s="75" t="str">
        <f ca="1">IF(ISBLANK(INDIRECT(ADDRESS(B36*2+2,3))),"",INDIRECT(ADDRESS(B36*2+2,3)))</f>
        <v>Догадин Евгений</v>
      </c>
      <c r="D36" s="75"/>
      <c r="E36" s="76"/>
      <c r="F36" s="26">
        <v>13</v>
      </c>
      <c r="G36" s="27">
        <v>6</v>
      </c>
      <c r="H36" s="77" t="str">
        <f ca="1">IF(ISBLANK(INDIRECT(ADDRESS(K36*2+2,3))),"",INDIRECT(ADDRESS(K36*2+2,3)))</f>
        <v>Костин Юрий</v>
      </c>
      <c r="I36" s="75"/>
      <c r="J36" s="75"/>
      <c r="K36" s="25">
        <v>4</v>
      </c>
      <c r="L36" s="28" t="s">
        <v>6</v>
      </c>
      <c r="M36" s="29"/>
    </row>
    <row r="37" spans="2:13" ht="30" customHeight="1" thickBot="1" x14ac:dyDescent="0.3">
      <c r="B37" s="25">
        <v>2</v>
      </c>
      <c r="C37" s="75" t="str">
        <f ca="1">IF(ISBLANK(INDIRECT(ADDRESS(B37*2+2,3))),"",INDIRECT(ADDRESS(B37*2+2,3)))</f>
        <v>Акимов Сергей</v>
      </c>
      <c r="D37" s="75"/>
      <c r="E37" s="76"/>
      <c r="F37" s="26">
        <v>13</v>
      </c>
      <c r="G37" s="27">
        <v>8</v>
      </c>
      <c r="H37" s="77" t="str">
        <f ca="1">IF(ISBLANK(INDIRECT(ADDRESS(K37*2+2,3))),"",INDIRECT(ADDRESS(K37*2+2,3)))</f>
        <v>Гришков Сергей</v>
      </c>
      <c r="I37" s="75"/>
      <c r="J37" s="75"/>
      <c r="K37" s="25">
        <v>3</v>
      </c>
      <c r="L37" s="28" t="s">
        <v>6</v>
      </c>
      <c r="M37" s="29"/>
    </row>
    <row r="38" spans="2:13" ht="30" customHeight="1" x14ac:dyDescent="0.25"/>
    <row r="39" spans="2:13" ht="30" customHeight="1" thickBot="1" x14ac:dyDescent="0.3">
      <c r="B39" s="78" t="s">
        <v>10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3" ht="30" customHeight="1" thickBot="1" x14ac:dyDescent="0.3">
      <c r="B40" s="25">
        <v>3</v>
      </c>
      <c r="C40" s="75" t="str">
        <f ca="1">IF(ISBLANK(INDIRECT(ADDRESS(B40*2+2,3))),"",INDIRECT(ADDRESS(B40*2+2,3)))</f>
        <v>Гришков Сергей</v>
      </c>
      <c r="D40" s="75"/>
      <c r="E40" s="76"/>
      <c r="F40" s="26">
        <v>2</v>
      </c>
      <c r="G40" s="27">
        <v>13</v>
      </c>
      <c r="H40" s="77" t="str">
        <f ca="1">IF(ISBLANK(INDIRECT(ADDRESS(K40*2+2,3))),"",INDIRECT(ADDRESS(K40*2+2,3)))</f>
        <v>Аниськин Сергей</v>
      </c>
      <c r="I40" s="75"/>
      <c r="J40" s="75"/>
      <c r="K40" s="25">
        <v>6</v>
      </c>
      <c r="L40" s="28" t="s">
        <v>6</v>
      </c>
      <c r="M40" s="29"/>
    </row>
    <row r="41" spans="2:13" ht="30" customHeight="1" thickBot="1" x14ac:dyDescent="0.3">
      <c r="B41" s="25">
        <v>4</v>
      </c>
      <c r="C41" s="75" t="str">
        <f ca="1">IF(ISBLANK(INDIRECT(ADDRESS(B41*2+2,3))),"",INDIRECT(ADDRESS(B41*2+2,3)))</f>
        <v>Костин Юрий</v>
      </c>
      <c r="D41" s="75"/>
      <c r="E41" s="76"/>
      <c r="F41" s="26">
        <v>13</v>
      </c>
      <c r="G41" s="27">
        <v>8</v>
      </c>
      <c r="H41" s="77" t="str">
        <f ca="1">IF(ISBLANK(INDIRECT(ADDRESS(K41*2+2,3))),"",INDIRECT(ADDRESS(K41*2+2,3)))</f>
        <v>Акимов Сергей</v>
      </c>
      <c r="I41" s="75"/>
      <c r="J41" s="75"/>
      <c r="K41" s="25">
        <v>2</v>
      </c>
      <c r="L41" s="28" t="s">
        <v>6</v>
      </c>
      <c r="M41" s="29"/>
    </row>
    <row r="42" spans="2:13" ht="30" customHeight="1" thickBot="1" x14ac:dyDescent="0.3">
      <c r="B42" s="25">
        <v>5</v>
      </c>
      <c r="C42" s="75" t="str">
        <f ca="1">IF(ISBLANK(INDIRECT(ADDRESS(B42*2+2,3))),"",INDIRECT(ADDRESS(B42*2+2,3)))</f>
        <v>Стрельчук Дмитрий</v>
      </c>
      <c r="D42" s="75"/>
      <c r="E42" s="76"/>
      <c r="F42" s="26">
        <v>9</v>
      </c>
      <c r="G42" s="27">
        <v>13</v>
      </c>
      <c r="H42" s="77" t="str">
        <f ca="1">IF(ISBLANK(INDIRECT(ADDRESS(K42*2+2,3))),"",INDIRECT(ADDRESS(K42*2+2,3)))</f>
        <v>Догадин Евгений</v>
      </c>
      <c r="I42" s="75"/>
      <c r="J42" s="75"/>
      <c r="K42" s="25">
        <v>1</v>
      </c>
      <c r="L42" s="28" t="s">
        <v>6</v>
      </c>
      <c r="M42" s="29"/>
    </row>
    <row r="43" spans="2:13" x14ac:dyDescent="0.25">
      <c r="K43" s="31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C10" sqref="C10:E11"/>
    </sheetView>
  </sheetViews>
  <sheetFormatPr defaultRowHeight="15" x14ac:dyDescent="0.25"/>
  <cols>
    <col min="1" max="1" width="4" customWidth="1"/>
    <col min="2" max="12" width="10.28515625" customWidth="1"/>
    <col min="13" max="13" width="10.28515625" style="30" customWidth="1"/>
    <col min="14" max="15" width="10.28515625" customWidth="1"/>
  </cols>
  <sheetData>
    <row r="1" spans="1:15" ht="59.25" customHeight="1" x14ac:dyDescent="0.25">
      <c r="B1" s="97" t="s">
        <v>156</v>
      </c>
      <c r="C1" s="97"/>
      <c r="D1" s="97"/>
      <c r="E1" s="97"/>
      <c r="F1" s="97"/>
      <c r="G1" s="97"/>
      <c r="H1" s="97"/>
      <c r="I1" s="97"/>
      <c r="J1" s="97"/>
      <c r="K1" s="97"/>
      <c r="M1"/>
    </row>
    <row r="2" spans="1:15" ht="15.75" thickBot="1" x14ac:dyDescent="0.3">
      <c r="M2"/>
    </row>
    <row r="3" spans="1:15" ht="30" customHeight="1" thickBot="1" x14ac:dyDescent="0.3">
      <c r="B3" s="41"/>
      <c r="C3" s="98" t="s">
        <v>0</v>
      </c>
      <c r="D3" s="99"/>
      <c r="E3" s="100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2">
        <v>7</v>
      </c>
      <c r="M3" s="4" t="s">
        <v>1</v>
      </c>
      <c r="N3" s="2" t="s">
        <v>2</v>
      </c>
      <c r="O3" s="5" t="s">
        <v>3</v>
      </c>
    </row>
    <row r="4" spans="1:15" ht="24" customHeight="1" x14ac:dyDescent="0.25">
      <c r="A4" s="6"/>
      <c r="B4" s="101">
        <v>1</v>
      </c>
      <c r="C4" s="109" t="s">
        <v>157</v>
      </c>
      <c r="D4" s="110"/>
      <c r="E4" s="111"/>
      <c r="F4" s="8"/>
      <c r="G4" s="9" t="str">
        <f ca="1">INDIRECT(ADDRESS(29,6))&amp;":"&amp;INDIRECT(ADDRESS(29,7))</f>
        <v>13:7</v>
      </c>
      <c r="H4" s="9" t="str">
        <f ca="1">INDIRECT(ADDRESS(32,7))&amp;":"&amp;INDIRECT(ADDRESS(32,6))</f>
        <v>13:10</v>
      </c>
      <c r="I4" s="9" t="str">
        <f ca="1">INDIRECT(ADDRESS(38,6))&amp;":"&amp;INDIRECT(ADDRESS(38,7))</f>
        <v>13:8</v>
      </c>
      <c r="J4" s="9" t="str">
        <f ca="1">INDIRECT(ADDRESS(43,7))&amp;":"&amp;INDIRECT(ADDRESS(43,6))</f>
        <v>13:9</v>
      </c>
      <c r="K4" s="42" t="str">
        <f ca="1">INDIRECT(ADDRESS(47,6))&amp;":"&amp;INDIRECT(ADDRESS(47,7))</f>
        <v>13:11</v>
      </c>
      <c r="L4" s="10" t="str">
        <f ca="1">INDIRECT(ADDRESS(54,7))&amp;":"&amp;INDIRECT(ADDRESS(54,6))</f>
        <v>13:6</v>
      </c>
      <c r="M4" s="119">
        <f ca="1">IF(COUNT(F5:L5)=0,"",COUNTIF(F5:L5,"&gt;0")+0.5*COUNTIF(F5:L5,0))</f>
        <v>6</v>
      </c>
      <c r="N4" s="11"/>
      <c r="O4" s="96">
        <v>1</v>
      </c>
    </row>
    <row r="5" spans="1:15" ht="24" customHeight="1" x14ac:dyDescent="0.25">
      <c r="A5" s="6"/>
      <c r="B5" s="91"/>
      <c r="C5" s="93"/>
      <c r="D5" s="94"/>
      <c r="E5" s="95"/>
      <c r="F5" s="12"/>
      <c r="G5" s="13">
        <f ca="1">IF(LEN(INDIRECT(ADDRESS(ROW()-1, COLUMN())))=1,"",INDIRECT(ADDRESS(29,6))-INDIRECT(ADDRESS(29,7)))</f>
        <v>6</v>
      </c>
      <c r="H5" s="13">
        <f ca="1">IF(LEN(INDIRECT(ADDRESS(ROW()-1, COLUMN())))=1,"",INDIRECT(ADDRESS(32,7))-INDIRECT(ADDRESS(32,6)))</f>
        <v>3</v>
      </c>
      <c r="I5" s="13">
        <f ca="1">IF(LEN(INDIRECT(ADDRESS(ROW()-1, COLUMN())))=1,"",INDIRECT(ADDRESS(38,6))-INDIRECT(ADDRESS(38,7)))</f>
        <v>5</v>
      </c>
      <c r="J5" s="13">
        <f ca="1">IF(LEN(INDIRECT(ADDRESS(ROW()-1, COLUMN())))=1,"",INDIRECT(ADDRESS(43,7))-INDIRECT(ADDRESS(43,6)))</f>
        <v>4</v>
      </c>
      <c r="K5" s="43">
        <f ca="1">IF(LEN(INDIRECT(ADDRESS(ROW()-1, COLUMN())))=1,"",INDIRECT(ADDRESS(47,6))-INDIRECT(ADDRESS(47,7)))</f>
        <v>2</v>
      </c>
      <c r="L5" s="14">
        <f ca="1">IF(LEN(INDIRECT(ADDRESS(ROW()-1, COLUMN())))=1,"",INDIRECT(ADDRESS(54,7))-INDIRECT(ADDRESS(54,6)))</f>
        <v>7</v>
      </c>
      <c r="M5" s="112"/>
      <c r="N5" s="13">
        <f ca="1">IF(COUNT(F5:L5)=0,"",SUM(F5:L5))</f>
        <v>27</v>
      </c>
      <c r="O5" s="92"/>
    </row>
    <row r="6" spans="1:15" ht="24" customHeight="1" x14ac:dyDescent="0.25">
      <c r="A6" s="6"/>
      <c r="B6" s="79">
        <v>2</v>
      </c>
      <c r="C6" s="81" t="s">
        <v>158</v>
      </c>
      <c r="D6" s="82"/>
      <c r="E6" s="83"/>
      <c r="F6" s="15" t="str">
        <f ca="1">INDIRECT(ADDRESS(29,7))&amp;":"&amp;INDIRECT(ADDRESS(29,6))</f>
        <v>7:13</v>
      </c>
      <c r="G6" s="16"/>
      <c r="H6" s="17" t="str">
        <f ca="1">INDIRECT(ADDRESS(39,6))&amp;":"&amp;INDIRECT(ADDRESS(39,7))</f>
        <v>4:13</v>
      </c>
      <c r="I6" s="17" t="str">
        <f ca="1">INDIRECT(ADDRESS(42,7))&amp;":"&amp;INDIRECT(ADDRESS(42,6))</f>
        <v>9:13</v>
      </c>
      <c r="J6" s="17" t="str">
        <f ca="1">INDIRECT(ADDRESS(48,6))&amp;":"&amp;INDIRECT(ADDRESS(48,7))</f>
        <v>7:13</v>
      </c>
      <c r="K6" s="44" t="str">
        <f ca="1">INDIRECT(ADDRESS(53,7))&amp;":"&amp;INDIRECT(ADDRESS(53,6))</f>
        <v>10:13</v>
      </c>
      <c r="L6" s="18" t="str">
        <f ca="1">INDIRECT(ADDRESS(22,6))&amp;":"&amp;INDIRECT(ADDRESS(22,7))</f>
        <v>12:13</v>
      </c>
      <c r="M6" s="112">
        <f ca="1">IF(COUNT(F7:L7)=0,"",COUNTIF(F7:L7,"&gt;0")+0.5*COUNTIF(F7:L7,0))</f>
        <v>0</v>
      </c>
      <c r="N6" s="13"/>
      <c r="O6" s="89">
        <v>7</v>
      </c>
    </row>
    <row r="7" spans="1:15" ht="24" customHeight="1" x14ac:dyDescent="0.25">
      <c r="A7" s="6"/>
      <c r="B7" s="91"/>
      <c r="C7" s="81"/>
      <c r="D7" s="82"/>
      <c r="E7" s="83"/>
      <c r="F7" s="19">
        <f ca="1">IF(LEN(INDIRECT(ADDRESS(ROW()-1, COLUMN())))=1,"",INDIRECT(ADDRESS(29,7))-INDIRECT(ADDRESS(29,6)))</f>
        <v>-6</v>
      </c>
      <c r="G7" s="20"/>
      <c r="H7" s="13">
        <f ca="1">IF(LEN(INDIRECT(ADDRESS(ROW()-1, COLUMN())))=1,"",INDIRECT(ADDRESS(39,6))-INDIRECT(ADDRESS(39,7)))</f>
        <v>-9</v>
      </c>
      <c r="I7" s="13">
        <f ca="1">IF(LEN(INDIRECT(ADDRESS(ROW()-1, COLUMN())))=1,"",INDIRECT(ADDRESS(42,7))-INDIRECT(ADDRESS(42,6)))</f>
        <v>-4</v>
      </c>
      <c r="J7" s="13">
        <f ca="1">IF(LEN(INDIRECT(ADDRESS(ROW()-1, COLUMN())))=1,"",INDIRECT(ADDRESS(48,6))-INDIRECT(ADDRESS(48,7)))</f>
        <v>-6</v>
      </c>
      <c r="K7" s="43">
        <f ca="1">IF(LEN(INDIRECT(ADDRESS(ROW()-1, COLUMN())))=1,"",INDIRECT(ADDRESS(53,7))-INDIRECT(ADDRESS(53,6)))</f>
        <v>-3</v>
      </c>
      <c r="L7" s="14">
        <f ca="1">IF(LEN(INDIRECT(ADDRESS(ROW()-1, COLUMN())))=1,"",INDIRECT(ADDRESS(22,6))-INDIRECT(ADDRESS(22,7)))</f>
        <v>-1</v>
      </c>
      <c r="M7" s="112"/>
      <c r="N7" s="13">
        <f ca="1">IF(COUNT(F7:L7)=0,"",SUM(F7:L7))</f>
        <v>-29</v>
      </c>
      <c r="O7" s="92"/>
    </row>
    <row r="8" spans="1:15" ht="24" customHeight="1" x14ac:dyDescent="0.25">
      <c r="A8" s="6"/>
      <c r="B8" s="79">
        <v>3</v>
      </c>
      <c r="C8" s="93" t="s">
        <v>159</v>
      </c>
      <c r="D8" s="94"/>
      <c r="E8" s="95"/>
      <c r="F8" s="15" t="str">
        <f ca="1">INDIRECT(ADDRESS(32,6))&amp;":"&amp;INDIRECT(ADDRESS(32,7))</f>
        <v>10:13</v>
      </c>
      <c r="G8" s="17" t="str">
        <f ca="1">INDIRECT(ADDRESS(39,7))&amp;":"&amp;INDIRECT(ADDRESS(39,6))</f>
        <v>13:4</v>
      </c>
      <c r="H8" s="16"/>
      <c r="I8" s="17" t="str">
        <f ca="1">INDIRECT(ADDRESS(49,6))&amp;":"&amp;INDIRECT(ADDRESS(49,7))</f>
        <v>13:11</v>
      </c>
      <c r="J8" s="17" t="str">
        <f ca="1">INDIRECT(ADDRESS(52,7))&amp;":"&amp;INDIRECT(ADDRESS(52,6))</f>
        <v>13:12</v>
      </c>
      <c r="K8" s="44" t="str">
        <f ca="1">INDIRECT(ADDRESS(23,6))&amp;":"&amp;INDIRECT(ADDRESS(23,7))</f>
        <v>6:13</v>
      </c>
      <c r="L8" s="18" t="str">
        <f ca="1">INDIRECT(ADDRESS(28,7))&amp;":"&amp;INDIRECT(ADDRESS(28,6))</f>
        <v>11:13</v>
      </c>
      <c r="M8" s="112">
        <f ca="1">IF(COUNT(F9:L9)=0,"",COUNTIF(F9:L9,"&gt;0")+0.5*COUNTIF(F9:L9,0))</f>
        <v>3</v>
      </c>
      <c r="N8" s="13"/>
      <c r="O8" s="89">
        <v>3</v>
      </c>
    </row>
    <row r="9" spans="1:15" ht="24" customHeight="1" x14ac:dyDescent="0.25">
      <c r="A9" s="6"/>
      <c r="B9" s="91"/>
      <c r="C9" s="93"/>
      <c r="D9" s="94"/>
      <c r="E9" s="95"/>
      <c r="F9" s="19">
        <f ca="1">IF(LEN(INDIRECT(ADDRESS(ROW()-1, COLUMN())))=1,"",INDIRECT(ADDRESS(32,6))-INDIRECT(ADDRESS(32,7)))</f>
        <v>-3</v>
      </c>
      <c r="G9" s="13">
        <f ca="1">IF(LEN(INDIRECT(ADDRESS(ROW()-1, COLUMN())))=1,"",INDIRECT(ADDRESS(39,7))-INDIRECT(ADDRESS(39,6)))</f>
        <v>9</v>
      </c>
      <c r="H9" s="20"/>
      <c r="I9" s="13">
        <f ca="1">IF(LEN(INDIRECT(ADDRESS(ROW()-1, COLUMN())))=1,"",INDIRECT(ADDRESS(49,6))-INDIRECT(ADDRESS(49,7)))</f>
        <v>2</v>
      </c>
      <c r="J9" s="13">
        <f ca="1">IF(LEN(INDIRECT(ADDRESS(ROW()-1, COLUMN())))=1,"",INDIRECT(ADDRESS(52,7))-INDIRECT(ADDRESS(52,6)))</f>
        <v>1</v>
      </c>
      <c r="K9" s="43">
        <f ca="1">IF(LEN(INDIRECT(ADDRESS(ROW()-1, COLUMN())))=1,"",INDIRECT(ADDRESS(23,6))-INDIRECT(ADDRESS(23,7)))</f>
        <v>-7</v>
      </c>
      <c r="L9" s="14">
        <f ca="1">IF(LEN(INDIRECT(ADDRESS(ROW()-1, COLUMN())))=1,"",INDIRECT(ADDRESS(28,7))-INDIRECT(ADDRESS(28,6)))</f>
        <v>-2</v>
      </c>
      <c r="M9" s="112"/>
      <c r="N9" s="13">
        <f ca="1">IF(COUNT(F9:L9)=0,"",SUM(F9:L9))</f>
        <v>0</v>
      </c>
      <c r="O9" s="92"/>
    </row>
    <row r="10" spans="1:15" ht="24" customHeight="1" x14ac:dyDescent="0.25">
      <c r="A10" s="6"/>
      <c r="B10" s="79">
        <v>4</v>
      </c>
      <c r="C10" s="81" t="s">
        <v>160</v>
      </c>
      <c r="D10" s="82"/>
      <c r="E10" s="83"/>
      <c r="F10" s="15" t="str">
        <f ca="1">INDIRECT(ADDRESS(38,7))&amp;":"&amp;INDIRECT(ADDRESS(38,6))</f>
        <v>8:13</v>
      </c>
      <c r="G10" s="17" t="str">
        <f ca="1">INDIRECT(ADDRESS(42,6))&amp;":"&amp;INDIRECT(ADDRESS(42,7))</f>
        <v>13:9</v>
      </c>
      <c r="H10" s="17" t="str">
        <f ca="1">INDIRECT(ADDRESS(49,7))&amp;":"&amp;INDIRECT(ADDRESS(49,6))</f>
        <v>11:13</v>
      </c>
      <c r="I10" s="16"/>
      <c r="J10" s="17" t="str">
        <f ca="1">INDIRECT(ADDRESS(24,6))&amp;":"&amp;INDIRECT(ADDRESS(24,7))</f>
        <v>13:11</v>
      </c>
      <c r="K10" s="44" t="str">
        <f ca="1">INDIRECT(ADDRESS(27,7))&amp;":"&amp;INDIRECT(ADDRESS(27,6))</f>
        <v>9:13</v>
      </c>
      <c r="L10" s="18" t="str">
        <f ca="1">INDIRECT(ADDRESS(33,6))&amp;":"&amp;INDIRECT(ADDRESS(33,7))</f>
        <v>13:4</v>
      </c>
      <c r="M10" s="112">
        <f ca="1">IF(COUNT(F11:L11)=0,"",COUNTIF(F11:L11,"&gt;0")+0.5*COUNTIF(F11:L11,0))</f>
        <v>3</v>
      </c>
      <c r="N10" s="13"/>
      <c r="O10" s="89">
        <v>4</v>
      </c>
    </row>
    <row r="11" spans="1:15" ht="24" customHeight="1" x14ac:dyDescent="0.25">
      <c r="A11" s="6"/>
      <c r="B11" s="91"/>
      <c r="C11" s="81"/>
      <c r="D11" s="82"/>
      <c r="E11" s="83"/>
      <c r="F11" s="19">
        <f ca="1">IF(LEN(INDIRECT(ADDRESS(ROW()-1, COLUMN())))=1,"",INDIRECT(ADDRESS(38,7))-INDIRECT(ADDRESS(38,6)))</f>
        <v>-5</v>
      </c>
      <c r="G11" s="13">
        <f ca="1">IF(LEN(INDIRECT(ADDRESS(ROW()-1, COLUMN())))=1,"",INDIRECT(ADDRESS(42,6))-INDIRECT(ADDRESS(42,7)))</f>
        <v>4</v>
      </c>
      <c r="H11" s="13">
        <f ca="1">IF(LEN(INDIRECT(ADDRESS(ROW()-1, COLUMN())))=1,"",INDIRECT(ADDRESS(49,7))-INDIRECT(ADDRESS(49,6)))</f>
        <v>-2</v>
      </c>
      <c r="I11" s="20"/>
      <c r="J11" s="13">
        <f ca="1">IF(LEN(INDIRECT(ADDRESS(ROW()-1, COLUMN())))=1,"",INDIRECT(ADDRESS(24,6))-INDIRECT(ADDRESS(24,7)))</f>
        <v>2</v>
      </c>
      <c r="K11" s="43">
        <f ca="1">IF(LEN(INDIRECT(ADDRESS(ROW()-1, COLUMN())))=1,"",INDIRECT(ADDRESS(27,7))-INDIRECT(ADDRESS(27,6)))</f>
        <v>-4</v>
      </c>
      <c r="L11" s="14">
        <f ca="1">IF(LEN(INDIRECT(ADDRESS(ROW()-1, COLUMN())))=1,"",INDIRECT(ADDRESS(33,6))-INDIRECT(ADDRESS(33,7)))</f>
        <v>9</v>
      </c>
      <c r="M11" s="112"/>
      <c r="N11" s="13">
        <f ca="1">IF(COUNT(F11:L11)=0,"",SUM(F11:L11))</f>
        <v>4</v>
      </c>
      <c r="O11" s="92"/>
    </row>
    <row r="12" spans="1:15" ht="24" customHeight="1" x14ac:dyDescent="0.25">
      <c r="A12" s="6"/>
      <c r="B12" s="79">
        <v>5</v>
      </c>
      <c r="C12" s="81" t="s">
        <v>161</v>
      </c>
      <c r="D12" s="82"/>
      <c r="E12" s="83"/>
      <c r="F12" s="15" t="str">
        <f ca="1">INDIRECT(ADDRESS(43,6))&amp;":"&amp;INDIRECT(ADDRESS(43,7))</f>
        <v>9:13</v>
      </c>
      <c r="G12" s="17" t="str">
        <f ca="1">INDIRECT(ADDRESS(48,7))&amp;":"&amp;INDIRECT(ADDRESS(48,6))</f>
        <v>13:7</v>
      </c>
      <c r="H12" s="17" t="str">
        <f ca="1">INDIRECT(ADDRESS(52,6))&amp;":"&amp;INDIRECT(ADDRESS(52,7))</f>
        <v>12:13</v>
      </c>
      <c r="I12" s="17" t="str">
        <f ca="1">INDIRECT(ADDRESS(24,7))&amp;":"&amp;INDIRECT(ADDRESS(24,6))</f>
        <v>11:13</v>
      </c>
      <c r="J12" s="16"/>
      <c r="K12" s="44" t="str">
        <f ca="1">INDIRECT(ADDRESS(34,6))&amp;":"&amp;INDIRECT(ADDRESS(34,7))</f>
        <v>5:13</v>
      </c>
      <c r="L12" s="18" t="str">
        <f ca="1">INDIRECT(ADDRESS(37,7))&amp;":"&amp;INDIRECT(ADDRESS(37,6))</f>
        <v>13:5</v>
      </c>
      <c r="M12" s="112">
        <f ca="1">IF(COUNT(F13:L13)=0,"",COUNTIF(F13:L13,"&gt;0")+0.5*COUNTIF(F13:L13,0))</f>
        <v>2</v>
      </c>
      <c r="N12" s="13"/>
      <c r="O12" s="89">
        <v>5</v>
      </c>
    </row>
    <row r="13" spans="1:15" ht="24" customHeight="1" x14ac:dyDescent="0.25">
      <c r="A13" s="6"/>
      <c r="B13" s="91"/>
      <c r="C13" s="81"/>
      <c r="D13" s="82"/>
      <c r="E13" s="83"/>
      <c r="F13" s="19">
        <f ca="1">IF(LEN(INDIRECT(ADDRESS(ROW()-1, COLUMN())))=1,"",INDIRECT(ADDRESS(43,6))-INDIRECT(ADDRESS(43,7)))</f>
        <v>-4</v>
      </c>
      <c r="G13" s="13">
        <f ca="1">IF(LEN(INDIRECT(ADDRESS(ROW()-1, COLUMN())))=1,"",INDIRECT(ADDRESS(48,7))-INDIRECT(ADDRESS(48,6)))</f>
        <v>6</v>
      </c>
      <c r="H13" s="13">
        <f ca="1">IF(LEN(INDIRECT(ADDRESS(ROW()-1, COLUMN())))=1,"",INDIRECT(ADDRESS(52,6))-INDIRECT(ADDRESS(52,7)))</f>
        <v>-1</v>
      </c>
      <c r="I13" s="13">
        <f ca="1">IF(LEN(INDIRECT(ADDRESS(ROW()-1, COLUMN())))=1,"",INDIRECT(ADDRESS(24,7))-INDIRECT(ADDRESS(24,6)))</f>
        <v>-2</v>
      </c>
      <c r="J13" s="20"/>
      <c r="K13" s="43">
        <f ca="1">IF(LEN(INDIRECT(ADDRESS(ROW()-1, COLUMN())))=1,"",INDIRECT(ADDRESS(34,6))-INDIRECT(ADDRESS(34,7)))</f>
        <v>-8</v>
      </c>
      <c r="L13" s="14">
        <f ca="1">IF(LEN(INDIRECT(ADDRESS(ROW()-1, COLUMN())))=1,"",INDIRECT(ADDRESS(37,7))-INDIRECT(ADDRESS(37,6)))</f>
        <v>8</v>
      </c>
      <c r="M13" s="112"/>
      <c r="N13" s="13">
        <f ca="1">IF(COUNT(F13:L13)=0,"",SUM(F13:L13))</f>
        <v>-1</v>
      </c>
      <c r="O13" s="92"/>
    </row>
    <row r="14" spans="1:15" ht="24" customHeight="1" x14ac:dyDescent="0.25">
      <c r="A14" s="6"/>
      <c r="B14" s="79">
        <v>6</v>
      </c>
      <c r="C14" s="93" t="s">
        <v>162</v>
      </c>
      <c r="D14" s="94"/>
      <c r="E14" s="95"/>
      <c r="F14" s="15" t="str">
        <f ca="1">INDIRECT(ADDRESS(47,7))&amp;":"&amp;INDIRECT(ADDRESS(47,6))</f>
        <v>11:13</v>
      </c>
      <c r="G14" s="17" t="str">
        <f ca="1">INDIRECT(ADDRESS(53,6))&amp;":"&amp;INDIRECT(ADDRESS(53,7))</f>
        <v>13:10</v>
      </c>
      <c r="H14" s="17" t="str">
        <f ca="1">INDIRECT(ADDRESS(23,7))&amp;":"&amp;INDIRECT(ADDRESS(23,6))</f>
        <v>13:6</v>
      </c>
      <c r="I14" s="17" t="str">
        <f ca="1">INDIRECT(ADDRESS(27,6))&amp;":"&amp;INDIRECT(ADDRESS(27,7))</f>
        <v>13:9</v>
      </c>
      <c r="J14" s="17" t="str">
        <f ca="1">INDIRECT(ADDRESS(34,7))&amp;":"&amp;INDIRECT(ADDRESS(34,6))</f>
        <v>13:5</v>
      </c>
      <c r="K14" s="45"/>
      <c r="L14" s="46" t="str">
        <f ca="1">INDIRECT(ADDRESS(44,6))&amp;":"&amp;INDIRECT(ADDRESS(44,7))</f>
        <v>:</v>
      </c>
      <c r="M14" s="112">
        <f ca="1">IF(COUNT(F15:L15)=0,"",COUNTIF(F15:L15,"&gt;0")+0.5*COUNTIF(F15:L15,0))</f>
        <v>4</v>
      </c>
      <c r="N14" s="13"/>
      <c r="O14" s="89">
        <v>2</v>
      </c>
    </row>
    <row r="15" spans="1:15" ht="24" customHeight="1" x14ac:dyDescent="0.25">
      <c r="A15" s="6"/>
      <c r="B15" s="91"/>
      <c r="C15" s="93"/>
      <c r="D15" s="94"/>
      <c r="E15" s="95"/>
      <c r="F15" s="19">
        <f ca="1">IF(LEN(INDIRECT(ADDRESS(ROW()-1, COLUMN())))=1,"",INDIRECT(ADDRESS(47,7))-INDIRECT(ADDRESS(47,6)))</f>
        <v>-2</v>
      </c>
      <c r="G15" s="13">
        <f ca="1">IF(LEN(INDIRECT(ADDRESS(ROW()-1, COLUMN())))=1,"",INDIRECT(ADDRESS(53,6))-INDIRECT(ADDRESS(53,7)))</f>
        <v>3</v>
      </c>
      <c r="H15" s="13">
        <f ca="1">IF(LEN(INDIRECT(ADDRESS(ROW()-1, COLUMN())))=1,"",INDIRECT(ADDRESS(23,7))-INDIRECT(ADDRESS(23,6)))</f>
        <v>7</v>
      </c>
      <c r="I15" s="13">
        <f ca="1">IF(LEN(INDIRECT(ADDRESS(ROW()-1, COLUMN())))=1,"",INDIRECT(ADDRESS(27,6))-INDIRECT(ADDRESS(27,7)))</f>
        <v>4</v>
      </c>
      <c r="J15" s="13">
        <f ca="1">IF(LEN(INDIRECT(ADDRESS(ROW()-1, COLUMN())))=1,"",INDIRECT(ADDRESS(34,7))-INDIRECT(ADDRESS(34,6)))</f>
        <v>8</v>
      </c>
      <c r="K15" s="47"/>
      <c r="L15" s="48" t="str">
        <f ca="1">IF(LEN(INDIRECT(ADDRESS(ROW()-1, COLUMN())))=1,"",INDIRECT(ADDRESS(44,6))-INDIRECT(ADDRESS(44,7)))</f>
        <v/>
      </c>
      <c r="M15" s="112"/>
      <c r="N15" s="13">
        <f ca="1">IF(COUNT(F15:L15)=0,"",SUM(F15:L15))</f>
        <v>20</v>
      </c>
      <c r="O15" s="92"/>
    </row>
    <row r="16" spans="1:15" ht="24" customHeight="1" x14ac:dyDescent="0.25">
      <c r="A16" s="6"/>
      <c r="B16" s="113">
        <v>7</v>
      </c>
      <c r="C16" s="114" t="s">
        <v>163</v>
      </c>
      <c r="D16" s="115"/>
      <c r="E16" s="116"/>
      <c r="F16" s="49" t="str">
        <f ca="1">INDIRECT(ADDRESS(54,6))&amp;":"&amp;INDIRECT(ADDRESS(54,7))</f>
        <v>6:13</v>
      </c>
      <c r="G16" s="50" t="str">
        <f ca="1">INDIRECT(ADDRESS(22,7))&amp;":"&amp;INDIRECT(ADDRESS(22,6))</f>
        <v>13:12</v>
      </c>
      <c r="H16" s="50" t="str">
        <f ca="1">INDIRECT(ADDRESS(28,6))&amp;":"&amp;INDIRECT(ADDRESS(28,7))</f>
        <v>13:11</v>
      </c>
      <c r="I16" s="50" t="str">
        <f ca="1">INDIRECT(ADDRESS(33,7))&amp;":"&amp;INDIRECT(ADDRESS(33,6))</f>
        <v>4:13</v>
      </c>
      <c r="J16" s="50" t="str">
        <f ca="1">INDIRECT(ADDRESS(37,6))&amp;":"&amp;INDIRECT(ADDRESS(37,7))</f>
        <v>5:13</v>
      </c>
      <c r="K16" s="51" t="str">
        <f ca="1">INDIRECT(ADDRESS(44,7))&amp;":"&amp;INDIRECT(ADDRESS(44,6))</f>
        <v>:</v>
      </c>
      <c r="L16" s="52"/>
      <c r="M16" s="112">
        <f ca="1">IF(COUNT(F17:L17)=0,"",COUNTIF(F17:L17,"&gt;0")+0.5*COUNTIF(F17:L17,0))</f>
        <v>2</v>
      </c>
      <c r="N16" s="53"/>
      <c r="O16" s="118">
        <v>6</v>
      </c>
    </row>
    <row r="17" spans="1:15" ht="24" customHeight="1" thickBot="1" x14ac:dyDescent="0.3">
      <c r="A17" s="6"/>
      <c r="B17" s="80"/>
      <c r="C17" s="84"/>
      <c r="D17" s="85"/>
      <c r="E17" s="86"/>
      <c r="F17" s="22">
        <f ca="1">IF(LEN(INDIRECT(ADDRESS(ROW()-1, COLUMN())))=1,"",INDIRECT(ADDRESS(54,6))-INDIRECT(ADDRESS(54,7)))</f>
        <v>-7</v>
      </c>
      <c r="G17" s="23">
        <f ca="1">IF(LEN(INDIRECT(ADDRESS(ROW()-1, COLUMN())))=1,"",INDIRECT(ADDRESS(22,7))-INDIRECT(ADDRESS(22,6)))</f>
        <v>1</v>
      </c>
      <c r="H17" s="23">
        <f ca="1">IF(LEN(INDIRECT(ADDRESS(ROW()-1, COLUMN())))=1,"",INDIRECT(ADDRESS(28,6))-INDIRECT(ADDRESS(28,7)))</f>
        <v>2</v>
      </c>
      <c r="I17" s="23">
        <f ca="1">IF(LEN(INDIRECT(ADDRESS(ROW()-1, COLUMN())))=1,"",INDIRECT(ADDRESS(33,7))-INDIRECT(ADDRESS(33,6)))</f>
        <v>-9</v>
      </c>
      <c r="J17" s="23">
        <f ca="1">IF(LEN(INDIRECT(ADDRESS(ROW()-1, COLUMN())))=1,"",INDIRECT(ADDRESS(37,6))-INDIRECT(ADDRESS(37,7)))</f>
        <v>-8</v>
      </c>
      <c r="K17" s="54" t="str">
        <f ca="1">IF(LEN(INDIRECT(ADDRESS(ROW()-1, COLUMN())))=1,"",INDIRECT(ADDRESS(44,7))-INDIRECT(ADDRESS(44,6)))</f>
        <v/>
      </c>
      <c r="L17" s="24"/>
      <c r="M17" s="117"/>
      <c r="N17" s="23">
        <f ca="1">IF(COUNT(F17:L17)=0,"",SUM(F17:L17))</f>
        <v>-21</v>
      </c>
      <c r="O17" s="90"/>
    </row>
    <row r="18" spans="1:15" x14ac:dyDescent="0.25">
      <c r="M18"/>
    </row>
    <row r="19" spans="1:15" x14ac:dyDescent="0.25">
      <c r="M19"/>
    </row>
    <row r="20" spans="1:15" x14ac:dyDescent="0.25">
      <c r="M20"/>
    </row>
    <row r="21" spans="1:15" ht="30" customHeight="1" thickBot="1" x14ac:dyDescent="0.3">
      <c r="B21" s="78" t="s">
        <v>5</v>
      </c>
      <c r="C21" s="78"/>
      <c r="D21" s="78"/>
      <c r="E21" s="78"/>
      <c r="F21" s="78"/>
      <c r="G21" s="78"/>
      <c r="H21" s="78"/>
      <c r="I21" s="78"/>
      <c r="J21" s="78"/>
      <c r="K21" s="78"/>
      <c r="M21"/>
    </row>
    <row r="22" spans="1:15" ht="30" customHeight="1" thickBot="1" x14ac:dyDescent="0.3">
      <c r="B22" s="6">
        <v>2</v>
      </c>
      <c r="C22" s="75" t="str">
        <f ca="1">IF(ISBLANK(INDIRECT(ADDRESS(B22*2+2,3))),"",INDIRECT(ADDRESS(B22*2+2,3)))</f>
        <v>Стрельчук Артем</v>
      </c>
      <c r="D22" s="75"/>
      <c r="E22" s="76"/>
      <c r="F22" s="26">
        <v>12</v>
      </c>
      <c r="G22" s="27">
        <v>13</v>
      </c>
      <c r="H22" s="77" t="str">
        <f ca="1">IF(ISBLANK(INDIRECT(ADDRESS(K22*2+2,3))),"",INDIRECT(ADDRESS(K22*2+2,3)))</f>
        <v>Санников Олег</v>
      </c>
      <c r="I22" s="75"/>
      <c r="J22" s="75"/>
      <c r="K22" s="6">
        <v>7</v>
      </c>
      <c r="L22" s="28" t="s">
        <v>6</v>
      </c>
      <c r="M22" s="29"/>
    </row>
    <row r="23" spans="1:15" ht="30" customHeight="1" thickBot="1" x14ac:dyDescent="0.3">
      <c r="B23" s="6">
        <v>3</v>
      </c>
      <c r="C23" s="75" t="str">
        <f ca="1">IF(ISBLANK(INDIRECT(ADDRESS(B23*2+2,3))),"",INDIRECT(ADDRESS(B23*2+2,3)))</f>
        <v>Базарев Дмитрий</v>
      </c>
      <c r="D23" s="75"/>
      <c r="E23" s="76"/>
      <c r="F23" s="26">
        <v>6</v>
      </c>
      <c r="G23" s="27">
        <v>13</v>
      </c>
      <c r="H23" s="77" t="str">
        <f ca="1">IF(ISBLANK(INDIRECT(ADDRESS(K23*2+2,3))),"",INDIRECT(ADDRESS(K23*2+2,3)))</f>
        <v>Медведев Игорь</v>
      </c>
      <c r="I23" s="75"/>
      <c r="J23" s="75"/>
      <c r="K23" s="6">
        <v>6</v>
      </c>
      <c r="L23" s="28" t="s">
        <v>6</v>
      </c>
      <c r="M23" s="29"/>
    </row>
    <row r="24" spans="1:15" ht="30" customHeight="1" thickBot="1" x14ac:dyDescent="0.3">
      <c r="B24" s="6">
        <v>4</v>
      </c>
      <c r="C24" s="75" t="str">
        <f ca="1">IF(ISBLANK(INDIRECT(ADDRESS(B24*2+2,3))),"",INDIRECT(ADDRESS(B24*2+2,3)))</f>
        <v>Тимченко Виктор</v>
      </c>
      <c r="D24" s="75"/>
      <c r="E24" s="76"/>
      <c r="F24" s="26">
        <v>13</v>
      </c>
      <c r="G24" s="27">
        <v>11</v>
      </c>
      <c r="H24" s="77" t="str">
        <f ca="1">IF(ISBLANK(INDIRECT(ADDRESS(K24*2+2,3))),"",INDIRECT(ADDRESS(K24*2+2,3)))</f>
        <v>Кривулин Виталий</v>
      </c>
      <c r="I24" s="75"/>
      <c r="J24" s="75"/>
      <c r="K24" s="6">
        <v>5</v>
      </c>
      <c r="L24" s="28" t="s">
        <v>6</v>
      </c>
      <c r="M24" s="29"/>
    </row>
    <row r="25" spans="1:15" ht="30" customHeight="1" x14ac:dyDescent="0.25"/>
    <row r="26" spans="1:15" ht="30" customHeight="1" thickBot="1" x14ac:dyDescent="0.3">
      <c r="B26" s="78" t="s">
        <v>7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1:15" ht="30" customHeight="1" thickBot="1" x14ac:dyDescent="0.3">
      <c r="B27" s="6">
        <v>6</v>
      </c>
      <c r="C27" s="75" t="str">
        <f ca="1">IF(ISBLANK(INDIRECT(ADDRESS(B27*2+2,3))),"",INDIRECT(ADDRESS(B27*2+2,3)))</f>
        <v>Медведев Игорь</v>
      </c>
      <c r="D27" s="75"/>
      <c r="E27" s="76"/>
      <c r="F27" s="26">
        <v>13</v>
      </c>
      <c r="G27" s="27">
        <v>9</v>
      </c>
      <c r="H27" s="77" t="str">
        <f ca="1">IF(ISBLANK(INDIRECT(ADDRESS(K27*2+2,3))),"",INDIRECT(ADDRESS(K27*2+2,3)))</f>
        <v>Тимченко Виктор</v>
      </c>
      <c r="I27" s="75"/>
      <c r="J27" s="75"/>
      <c r="K27" s="6">
        <v>4</v>
      </c>
      <c r="L27" s="28" t="s">
        <v>6</v>
      </c>
      <c r="M27" s="29"/>
    </row>
    <row r="28" spans="1:15" ht="30" customHeight="1" thickBot="1" x14ac:dyDescent="0.3">
      <c r="B28" s="6">
        <v>7</v>
      </c>
      <c r="C28" s="75" t="str">
        <f ca="1">IF(ISBLANK(INDIRECT(ADDRESS(B28*2+2,3))),"",INDIRECT(ADDRESS(B28*2+2,3)))</f>
        <v>Санников Олег</v>
      </c>
      <c r="D28" s="75"/>
      <c r="E28" s="76"/>
      <c r="F28" s="26">
        <v>13</v>
      </c>
      <c r="G28" s="27">
        <v>11</v>
      </c>
      <c r="H28" s="77" t="str">
        <f ca="1">IF(ISBLANK(INDIRECT(ADDRESS(K28*2+2,3))),"",INDIRECT(ADDRESS(K28*2+2,3)))</f>
        <v>Базарев Дмитрий</v>
      </c>
      <c r="I28" s="75"/>
      <c r="J28" s="75"/>
      <c r="K28" s="6">
        <v>3</v>
      </c>
      <c r="L28" s="28" t="s">
        <v>6</v>
      </c>
      <c r="M28" s="29"/>
    </row>
    <row r="29" spans="1:15" ht="30" customHeight="1" thickBot="1" x14ac:dyDescent="0.3">
      <c r="B29" s="6">
        <v>1</v>
      </c>
      <c r="C29" s="75" t="str">
        <f ca="1">IF(ISBLANK(INDIRECT(ADDRESS(B29*2+2,3))),"",INDIRECT(ADDRESS(B29*2+2,3)))</f>
        <v>Уткин Андрей</v>
      </c>
      <c r="D29" s="75"/>
      <c r="E29" s="76"/>
      <c r="F29" s="26">
        <v>13</v>
      </c>
      <c r="G29" s="27">
        <v>7</v>
      </c>
      <c r="H29" s="77" t="str">
        <f ca="1">IF(ISBLANK(INDIRECT(ADDRESS(K29*2+2,3))),"",INDIRECT(ADDRESS(K29*2+2,3)))</f>
        <v>Стрельчук Артем</v>
      </c>
      <c r="I29" s="75"/>
      <c r="J29" s="75"/>
      <c r="K29" s="6">
        <v>2</v>
      </c>
      <c r="L29" s="28" t="s">
        <v>6</v>
      </c>
      <c r="M29" s="29"/>
    </row>
    <row r="30" spans="1:15" ht="30" customHeight="1" x14ac:dyDescent="0.25"/>
    <row r="31" spans="1:15" ht="30" customHeight="1" thickBot="1" x14ac:dyDescent="0.3">
      <c r="B31" s="78" t="s">
        <v>8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1:15" ht="30" customHeight="1" thickBot="1" x14ac:dyDescent="0.3">
      <c r="B32" s="6">
        <v>3</v>
      </c>
      <c r="C32" s="75" t="str">
        <f ca="1">IF(ISBLANK(INDIRECT(ADDRESS(B32*2+2,3))),"",INDIRECT(ADDRESS(B32*2+2,3)))</f>
        <v>Базарев Дмитрий</v>
      </c>
      <c r="D32" s="75"/>
      <c r="E32" s="76"/>
      <c r="F32" s="26">
        <v>10</v>
      </c>
      <c r="G32" s="27">
        <v>13</v>
      </c>
      <c r="H32" s="77" t="str">
        <f ca="1">IF(ISBLANK(INDIRECT(ADDRESS(K32*2+2,3))),"",INDIRECT(ADDRESS(K32*2+2,3)))</f>
        <v>Уткин Андрей</v>
      </c>
      <c r="I32" s="75"/>
      <c r="J32" s="75"/>
      <c r="K32" s="6">
        <v>1</v>
      </c>
      <c r="L32" s="28" t="s">
        <v>6</v>
      </c>
      <c r="M32" s="29"/>
    </row>
    <row r="33" spans="2:13" ht="30" customHeight="1" thickBot="1" x14ac:dyDescent="0.3">
      <c r="B33" s="6">
        <v>4</v>
      </c>
      <c r="C33" s="75" t="str">
        <f ca="1">IF(ISBLANK(INDIRECT(ADDRESS(B33*2+2,3))),"",INDIRECT(ADDRESS(B33*2+2,3)))</f>
        <v>Тимченко Виктор</v>
      </c>
      <c r="D33" s="75"/>
      <c r="E33" s="76"/>
      <c r="F33" s="26">
        <v>13</v>
      </c>
      <c r="G33" s="27">
        <v>4</v>
      </c>
      <c r="H33" s="77" t="str">
        <f ca="1">IF(ISBLANK(INDIRECT(ADDRESS(K33*2+2,3))),"",INDIRECT(ADDRESS(K33*2+2,3)))</f>
        <v>Санников Олег</v>
      </c>
      <c r="I33" s="75"/>
      <c r="J33" s="75"/>
      <c r="K33" s="6">
        <v>7</v>
      </c>
      <c r="L33" s="28" t="s">
        <v>6</v>
      </c>
      <c r="M33" s="29"/>
    </row>
    <row r="34" spans="2:13" ht="30" customHeight="1" thickBot="1" x14ac:dyDescent="0.3">
      <c r="B34" s="6">
        <v>5</v>
      </c>
      <c r="C34" s="75" t="str">
        <f ca="1">IF(ISBLANK(INDIRECT(ADDRESS(B34*2+2,3))),"",INDIRECT(ADDRESS(B34*2+2,3)))</f>
        <v>Кривулин Виталий</v>
      </c>
      <c r="D34" s="75"/>
      <c r="E34" s="76"/>
      <c r="F34" s="26">
        <v>5</v>
      </c>
      <c r="G34" s="27">
        <v>13</v>
      </c>
      <c r="H34" s="77" t="str">
        <f ca="1">IF(ISBLANK(INDIRECT(ADDRESS(K34*2+2,3))),"",INDIRECT(ADDRESS(K34*2+2,3)))</f>
        <v>Медведев Игорь</v>
      </c>
      <c r="I34" s="75"/>
      <c r="J34" s="75"/>
      <c r="K34" s="6">
        <v>6</v>
      </c>
      <c r="L34" s="28" t="s">
        <v>6</v>
      </c>
      <c r="M34" s="29"/>
    </row>
    <row r="35" spans="2:13" ht="30" customHeight="1" x14ac:dyDescent="0.25"/>
    <row r="36" spans="2:13" ht="30" customHeight="1" thickBot="1" x14ac:dyDescent="0.3">
      <c r="B36" s="78" t="s">
        <v>9</v>
      </c>
      <c r="C36" s="78"/>
      <c r="D36" s="78"/>
      <c r="E36" s="78"/>
      <c r="F36" s="78"/>
      <c r="G36" s="78"/>
      <c r="H36" s="78"/>
      <c r="I36" s="78"/>
      <c r="J36" s="78"/>
      <c r="K36" s="78"/>
    </row>
    <row r="37" spans="2:13" ht="30" customHeight="1" thickBot="1" x14ac:dyDescent="0.3">
      <c r="B37" s="6">
        <v>7</v>
      </c>
      <c r="C37" s="75" t="str">
        <f ca="1">IF(ISBLANK(INDIRECT(ADDRESS(B37*2+2,3))),"",INDIRECT(ADDRESS(B37*2+2,3)))</f>
        <v>Санников Олег</v>
      </c>
      <c r="D37" s="75"/>
      <c r="E37" s="76"/>
      <c r="F37" s="26">
        <v>5</v>
      </c>
      <c r="G37" s="27">
        <v>13</v>
      </c>
      <c r="H37" s="77" t="str">
        <f ca="1">IF(ISBLANK(INDIRECT(ADDRESS(K37*2+2,3))),"",INDIRECT(ADDRESS(K37*2+2,3)))</f>
        <v>Кривулин Виталий</v>
      </c>
      <c r="I37" s="75"/>
      <c r="J37" s="75"/>
      <c r="K37" s="6">
        <v>5</v>
      </c>
      <c r="L37" s="28" t="s">
        <v>6</v>
      </c>
      <c r="M37" s="29"/>
    </row>
    <row r="38" spans="2:13" ht="30" customHeight="1" thickBot="1" x14ac:dyDescent="0.3">
      <c r="B38" s="6">
        <v>1</v>
      </c>
      <c r="C38" s="75" t="str">
        <f ca="1">IF(ISBLANK(INDIRECT(ADDRESS(B38*2+2,3))),"",INDIRECT(ADDRESS(B38*2+2,3)))</f>
        <v>Уткин Андрей</v>
      </c>
      <c r="D38" s="75"/>
      <c r="E38" s="76"/>
      <c r="F38" s="26">
        <v>13</v>
      </c>
      <c r="G38" s="27">
        <v>8</v>
      </c>
      <c r="H38" s="77" t="str">
        <f ca="1">IF(ISBLANK(INDIRECT(ADDRESS(K38*2+2,3))),"",INDIRECT(ADDRESS(K38*2+2,3)))</f>
        <v>Тимченко Виктор</v>
      </c>
      <c r="I38" s="75"/>
      <c r="J38" s="75"/>
      <c r="K38" s="6">
        <v>4</v>
      </c>
      <c r="L38" s="28" t="s">
        <v>6</v>
      </c>
      <c r="M38" s="29"/>
    </row>
    <row r="39" spans="2:13" ht="30" customHeight="1" thickBot="1" x14ac:dyDescent="0.3">
      <c r="B39" s="6">
        <v>2</v>
      </c>
      <c r="C39" s="75" t="str">
        <f ca="1">IF(ISBLANK(INDIRECT(ADDRESS(B39*2+2,3))),"",INDIRECT(ADDRESS(B39*2+2,3)))</f>
        <v>Стрельчук Артем</v>
      </c>
      <c r="D39" s="75"/>
      <c r="E39" s="76"/>
      <c r="F39" s="26">
        <v>4</v>
      </c>
      <c r="G39" s="27">
        <v>13</v>
      </c>
      <c r="H39" s="77" t="str">
        <f ca="1">IF(ISBLANK(INDIRECT(ADDRESS(K39*2+2,3))),"",INDIRECT(ADDRESS(K39*2+2,3)))</f>
        <v>Базарев Дмитрий</v>
      </c>
      <c r="I39" s="75"/>
      <c r="J39" s="75"/>
      <c r="K39" s="6">
        <v>3</v>
      </c>
      <c r="L39" s="28" t="s">
        <v>6</v>
      </c>
      <c r="M39" s="29"/>
    </row>
    <row r="40" spans="2:13" ht="30" customHeight="1" x14ac:dyDescent="0.25"/>
    <row r="41" spans="2:13" ht="30" customHeight="1" thickBot="1" x14ac:dyDescent="0.3">
      <c r="B41" s="78" t="s">
        <v>10</v>
      </c>
      <c r="C41" s="78"/>
      <c r="D41" s="78"/>
      <c r="E41" s="78"/>
      <c r="F41" s="78"/>
      <c r="G41" s="78"/>
      <c r="H41" s="78"/>
      <c r="I41" s="78"/>
      <c r="J41" s="78"/>
      <c r="K41" s="78"/>
    </row>
    <row r="42" spans="2:13" ht="30" customHeight="1" thickBot="1" x14ac:dyDescent="0.3">
      <c r="B42" s="6">
        <v>4</v>
      </c>
      <c r="C42" s="75" t="str">
        <f ca="1">IF(ISBLANK(INDIRECT(ADDRESS(B42*2+2,3))),"",INDIRECT(ADDRESS(B42*2+2,3)))</f>
        <v>Тимченко Виктор</v>
      </c>
      <c r="D42" s="75"/>
      <c r="E42" s="76"/>
      <c r="F42" s="26">
        <v>13</v>
      </c>
      <c r="G42" s="27">
        <v>9</v>
      </c>
      <c r="H42" s="77" t="str">
        <f ca="1">IF(ISBLANK(INDIRECT(ADDRESS(K42*2+2,3))),"",INDIRECT(ADDRESS(K42*2+2,3)))</f>
        <v>Стрельчук Артем</v>
      </c>
      <c r="I42" s="75"/>
      <c r="J42" s="75"/>
      <c r="K42" s="6">
        <v>2</v>
      </c>
      <c r="L42" s="28" t="s">
        <v>6</v>
      </c>
      <c r="M42" s="29"/>
    </row>
    <row r="43" spans="2:13" ht="30" customHeight="1" thickBot="1" x14ac:dyDescent="0.3">
      <c r="B43" s="6">
        <v>5</v>
      </c>
      <c r="C43" s="75" t="str">
        <f ca="1">IF(ISBLANK(INDIRECT(ADDRESS(B43*2+2,3))),"",INDIRECT(ADDRESS(B43*2+2,3)))</f>
        <v>Кривулин Виталий</v>
      </c>
      <c r="D43" s="75"/>
      <c r="E43" s="76"/>
      <c r="F43" s="26">
        <v>9</v>
      </c>
      <c r="G43" s="27">
        <v>13</v>
      </c>
      <c r="H43" s="77" t="str">
        <f ca="1">IF(ISBLANK(INDIRECT(ADDRESS(K43*2+2,3))),"",INDIRECT(ADDRESS(K43*2+2,3)))</f>
        <v>Уткин Андрей</v>
      </c>
      <c r="I43" s="75"/>
      <c r="J43" s="75"/>
      <c r="K43" s="6">
        <v>1</v>
      </c>
      <c r="L43" s="28" t="s">
        <v>6</v>
      </c>
      <c r="M43" s="29"/>
    </row>
    <row r="44" spans="2:13" ht="30" customHeight="1" thickBot="1" x14ac:dyDescent="0.3">
      <c r="B44" s="6">
        <v>6</v>
      </c>
      <c r="C44" s="75" t="str">
        <f ca="1">IF(ISBLANK(INDIRECT(ADDRESS(B44*2+2,3))),"",INDIRECT(ADDRESS(B44*2+2,3)))</f>
        <v>Медведев Игорь</v>
      </c>
      <c r="D44" s="75"/>
      <c r="E44" s="76"/>
      <c r="F44" s="26"/>
      <c r="G44" s="27"/>
      <c r="H44" s="77" t="str">
        <f ca="1">IF(ISBLANK(INDIRECT(ADDRESS(K44*2+2,3))),"",INDIRECT(ADDRESS(K44*2+2,3)))</f>
        <v>Санников Олег</v>
      </c>
      <c r="I44" s="75"/>
      <c r="J44" s="75"/>
      <c r="K44" s="6">
        <v>7</v>
      </c>
      <c r="L44" s="28" t="s">
        <v>6</v>
      </c>
      <c r="M44" s="29"/>
    </row>
    <row r="45" spans="2:13" ht="30" customHeight="1" x14ac:dyDescent="0.25"/>
    <row r="46" spans="2:13" ht="30" customHeight="1" thickBot="1" x14ac:dyDescent="0.3">
      <c r="B46" s="78" t="s">
        <v>107</v>
      </c>
      <c r="C46" s="78"/>
      <c r="D46" s="78"/>
      <c r="E46" s="78"/>
      <c r="F46" s="78"/>
      <c r="G46" s="78"/>
      <c r="H46" s="78"/>
      <c r="I46" s="78"/>
      <c r="J46" s="78"/>
      <c r="K46" s="78"/>
    </row>
    <row r="47" spans="2:13" ht="30" customHeight="1" thickBot="1" x14ac:dyDescent="0.3">
      <c r="B47" s="6">
        <v>1</v>
      </c>
      <c r="C47" s="75" t="str">
        <f ca="1">IF(ISBLANK(INDIRECT(ADDRESS(B47*2+2,3))),"",INDIRECT(ADDRESS(B47*2+2,3)))</f>
        <v>Уткин Андрей</v>
      </c>
      <c r="D47" s="75"/>
      <c r="E47" s="76"/>
      <c r="F47" s="26">
        <v>13</v>
      </c>
      <c r="G47" s="27">
        <v>11</v>
      </c>
      <c r="H47" s="77" t="str">
        <f ca="1">IF(ISBLANK(INDIRECT(ADDRESS(K47*2+2,3))),"",INDIRECT(ADDRESS(K47*2+2,3)))</f>
        <v>Медведев Игорь</v>
      </c>
      <c r="I47" s="75"/>
      <c r="J47" s="75"/>
      <c r="K47" s="6">
        <v>6</v>
      </c>
      <c r="L47" s="28" t="s">
        <v>6</v>
      </c>
      <c r="M47" s="29"/>
    </row>
    <row r="48" spans="2:13" ht="30" customHeight="1" thickBot="1" x14ac:dyDescent="0.3">
      <c r="B48" s="6">
        <v>2</v>
      </c>
      <c r="C48" s="75" t="str">
        <f ca="1">IF(ISBLANK(INDIRECT(ADDRESS(B48*2+2,3))),"",INDIRECT(ADDRESS(B48*2+2,3)))</f>
        <v>Стрельчук Артем</v>
      </c>
      <c r="D48" s="75"/>
      <c r="E48" s="76"/>
      <c r="F48" s="26">
        <v>7</v>
      </c>
      <c r="G48" s="27">
        <v>13</v>
      </c>
      <c r="H48" s="77" t="str">
        <f ca="1">IF(ISBLANK(INDIRECT(ADDRESS(K48*2+2,3))),"",INDIRECT(ADDRESS(K48*2+2,3)))</f>
        <v>Кривулин Виталий</v>
      </c>
      <c r="I48" s="75"/>
      <c r="J48" s="75"/>
      <c r="K48" s="6">
        <v>5</v>
      </c>
      <c r="L48" s="28" t="s">
        <v>6</v>
      </c>
      <c r="M48" s="29"/>
    </row>
    <row r="49" spans="2:13" ht="30" customHeight="1" thickBot="1" x14ac:dyDescent="0.3">
      <c r="B49" s="6">
        <v>3</v>
      </c>
      <c r="C49" s="75" t="str">
        <f ca="1">IF(ISBLANK(INDIRECT(ADDRESS(B49*2+2,3))),"",INDIRECT(ADDRESS(B49*2+2,3)))</f>
        <v>Базарев Дмитрий</v>
      </c>
      <c r="D49" s="75"/>
      <c r="E49" s="76"/>
      <c r="F49" s="26">
        <v>13</v>
      </c>
      <c r="G49" s="27">
        <v>11</v>
      </c>
      <c r="H49" s="77" t="str">
        <f ca="1">IF(ISBLANK(INDIRECT(ADDRESS(K49*2+2,3))),"",INDIRECT(ADDRESS(K49*2+2,3)))</f>
        <v>Тимченко Виктор</v>
      </c>
      <c r="I49" s="75"/>
      <c r="J49" s="75"/>
      <c r="K49" s="6">
        <v>4</v>
      </c>
      <c r="L49" s="28" t="s">
        <v>6</v>
      </c>
      <c r="M49" s="29"/>
    </row>
    <row r="50" spans="2:13" ht="30" customHeight="1" x14ac:dyDescent="0.25"/>
    <row r="51" spans="2:13" ht="30" customHeight="1" thickBot="1" x14ac:dyDescent="0.3">
      <c r="B51" s="78" t="s">
        <v>108</v>
      </c>
      <c r="C51" s="78"/>
      <c r="D51" s="78"/>
      <c r="E51" s="78"/>
      <c r="F51" s="78"/>
      <c r="G51" s="78"/>
      <c r="H51" s="78"/>
      <c r="I51" s="78"/>
      <c r="J51" s="78"/>
      <c r="K51" s="78"/>
    </row>
    <row r="52" spans="2:13" ht="30" customHeight="1" thickBot="1" x14ac:dyDescent="0.3">
      <c r="B52" s="6">
        <v>5</v>
      </c>
      <c r="C52" s="75" t="str">
        <f ca="1">IF(ISBLANK(INDIRECT(ADDRESS(B52*2+2,3))),"",INDIRECT(ADDRESS(B52*2+2,3)))</f>
        <v>Кривулин Виталий</v>
      </c>
      <c r="D52" s="75"/>
      <c r="E52" s="76"/>
      <c r="F52" s="26">
        <v>12</v>
      </c>
      <c r="G52" s="27">
        <v>13</v>
      </c>
      <c r="H52" s="77" t="str">
        <f ca="1">IF(ISBLANK(INDIRECT(ADDRESS(K52*2+2,3))),"",INDIRECT(ADDRESS(K52*2+2,3)))</f>
        <v>Базарев Дмитрий</v>
      </c>
      <c r="I52" s="75"/>
      <c r="J52" s="75"/>
      <c r="K52" s="6">
        <v>3</v>
      </c>
      <c r="L52" s="28" t="s">
        <v>6</v>
      </c>
      <c r="M52" s="29"/>
    </row>
    <row r="53" spans="2:13" ht="30" customHeight="1" thickBot="1" x14ac:dyDescent="0.3">
      <c r="B53" s="6">
        <v>6</v>
      </c>
      <c r="C53" s="75" t="str">
        <f ca="1">IF(ISBLANK(INDIRECT(ADDRESS(B53*2+2,3))),"",INDIRECT(ADDRESS(B53*2+2,3)))</f>
        <v>Медведев Игорь</v>
      </c>
      <c r="D53" s="75"/>
      <c r="E53" s="76"/>
      <c r="F53" s="26">
        <v>13</v>
      </c>
      <c r="G53" s="27">
        <v>10</v>
      </c>
      <c r="H53" s="77" t="str">
        <f ca="1">IF(ISBLANK(INDIRECT(ADDRESS(K53*2+2,3))),"",INDIRECT(ADDRESS(K53*2+2,3)))</f>
        <v>Стрельчук Артем</v>
      </c>
      <c r="I53" s="75"/>
      <c r="J53" s="75"/>
      <c r="K53" s="6">
        <v>2</v>
      </c>
      <c r="L53" s="28" t="s">
        <v>6</v>
      </c>
      <c r="M53" s="29"/>
    </row>
    <row r="54" spans="2:13" ht="30" customHeight="1" thickBot="1" x14ac:dyDescent="0.3">
      <c r="B54" s="6">
        <v>7</v>
      </c>
      <c r="C54" s="75" t="str">
        <f ca="1">IF(ISBLANK(INDIRECT(ADDRESS(B54*2+2,3))),"",INDIRECT(ADDRESS(B54*2+2,3)))</f>
        <v>Санников Олег</v>
      </c>
      <c r="D54" s="75"/>
      <c r="E54" s="76"/>
      <c r="F54" s="26">
        <v>6</v>
      </c>
      <c r="G54" s="27">
        <v>13</v>
      </c>
      <c r="H54" s="77" t="str">
        <f ca="1">IF(ISBLANK(INDIRECT(ADDRESS(K54*2+2,3))),"",INDIRECT(ADDRESS(K54*2+2,3)))</f>
        <v>Уткин Андрей</v>
      </c>
      <c r="I54" s="75"/>
      <c r="J54" s="75"/>
      <c r="K54" s="6">
        <v>1</v>
      </c>
      <c r="L54" s="28" t="s">
        <v>6</v>
      </c>
      <c r="M54" s="29"/>
    </row>
  </sheetData>
  <mergeCells count="79">
    <mergeCell ref="O4:O5"/>
    <mergeCell ref="B1:K1"/>
    <mergeCell ref="C3:E3"/>
    <mergeCell ref="B4:B5"/>
    <mergeCell ref="C4:E5"/>
    <mergeCell ref="M4:M5"/>
    <mergeCell ref="B6:B7"/>
    <mergeCell ref="C6:E7"/>
    <mergeCell ref="M6:M7"/>
    <mergeCell ref="O6:O7"/>
    <mergeCell ref="B8:B9"/>
    <mergeCell ref="C8:E9"/>
    <mergeCell ref="M8:M9"/>
    <mergeCell ref="O8:O9"/>
    <mergeCell ref="B10:B11"/>
    <mergeCell ref="C10:E11"/>
    <mergeCell ref="M10:M11"/>
    <mergeCell ref="O10:O11"/>
    <mergeCell ref="B12:B13"/>
    <mergeCell ref="C12:E13"/>
    <mergeCell ref="M12:M13"/>
    <mergeCell ref="O12:O13"/>
    <mergeCell ref="O14:O15"/>
    <mergeCell ref="B16:B17"/>
    <mergeCell ref="C16:E17"/>
    <mergeCell ref="M16:M17"/>
    <mergeCell ref="O16:O17"/>
    <mergeCell ref="C24:E24"/>
    <mergeCell ref="H24:J24"/>
    <mergeCell ref="B14:B15"/>
    <mergeCell ref="C14:E15"/>
    <mergeCell ref="M14:M15"/>
    <mergeCell ref="B21:K21"/>
    <mergeCell ref="C22:E22"/>
    <mergeCell ref="H22:J22"/>
    <mergeCell ref="C23:E23"/>
    <mergeCell ref="H23:J23"/>
    <mergeCell ref="C34:E34"/>
    <mergeCell ref="H34:J34"/>
    <mergeCell ref="B26:K26"/>
    <mergeCell ref="C27:E27"/>
    <mergeCell ref="H27:J27"/>
    <mergeCell ref="C28:E28"/>
    <mergeCell ref="H28:J28"/>
    <mergeCell ref="C29:E29"/>
    <mergeCell ref="H29:J29"/>
    <mergeCell ref="B31:K31"/>
    <mergeCell ref="C32:E32"/>
    <mergeCell ref="H32:J32"/>
    <mergeCell ref="C33:E33"/>
    <mergeCell ref="H33:J33"/>
    <mergeCell ref="C44:E44"/>
    <mergeCell ref="H44:J44"/>
    <mergeCell ref="B36:K36"/>
    <mergeCell ref="C37:E37"/>
    <mergeCell ref="H37:J37"/>
    <mergeCell ref="C38:E38"/>
    <mergeCell ref="H38:J38"/>
    <mergeCell ref="C39:E39"/>
    <mergeCell ref="H39:J39"/>
    <mergeCell ref="B41:K41"/>
    <mergeCell ref="C42:E42"/>
    <mergeCell ref="H42:J42"/>
    <mergeCell ref="C43:E43"/>
    <mergeCell ref="H43:J43"/>
    <mergeCell ref="C54:E54"/>
    <mergeCell ref="H54:J54"/>
    <mergeCell ref="B46:K46"/>
    <mergeCell ref="C47:E47"/>
    <mergeCell ref="H47:J47"/>
    <mergeCell ref="C48:E48"/>
    <mergeCell ref="H48:J48"/>
    <mergeCell ref="C49:E49"/>
    <mergeCell ref="H49:J49"/>
    <mergeCell ref="B51:K51"/>
    <mergeCell ref="C52:E52"/>
    <mergeCell ref="H52:J52"/>
    <mergeCell ref="C53:E53"/>
    <mergeCell ref="H53:J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L14" sqref="L14"/>
    </sheetView>
  </sheetViews>
  <sheetFormatPr defaultRowHeight="21" x14ac:dyDescent="0.35"/>
  <cols>
    <col min="1" max="1" width="4" style="34" customWidth="1"/>
    <col min="2" max="12" width="10.28515625" customWidth="1"/>
    <col min="13" max="13" width="10.28515625" style="64" customWidth="1"/>
    <col min="14" max="14" width="4" customWidth="1"/>
    <col min="15" max="15" width="10.28515625" customWidth="1"/>
    <col min="16" max="16" width="17.28515625" customWidth="1"/>
  </cols>
  <sheetData>
    <row r="1" spans="2:16" ht="45" x14ac:dyDescent="0.35">
      <c r="B1" s="97" t="s">
        <v>194</v>
      </c>
      <c r="C1" s="97"/>
      <c r="D1" s="97"/>
      <c r="E1" s="97"/>
      <c r="F1" s="97"/>
      <c r="G1" s="97"/>
      <c r="H1" s="97"/>
      <c r="I1" s="97"/>
      <c r="J1" s="97"/>
      <c r="K1" s="97"/>
      <c r="L1" s="63"/>
    </row>
    <row r="2" spans="2:16" ht="21.75" thickBot="1" x14ac:dyDescent="0.4"/>
    <row r="3" spans="2:16" ht="21.75" thickBot="1" x14ac:dyDescent="0.4">
      <c r="B3" s="61"/>
      <c r="C3" s="98" t="s">
        <v>0</v>
      </c>
      <c r="D3" s="99"/>
      <c r="E3" s="100"/>
      <c r="F3" s="2">
        <v>1</v>
      </c>
      <c r="G3" s="2">
        <v>2</v>
      </c>
      <c r="H3" s="3">
        <v>3</v>
      </c>
      <c r="I3" s="3">
        <v>4</v>
      </c>
      <c r="J3" s="61" t="s">
        <v>1</v>
      </c>
      <c r="K3" s="2" t="s">
        <v>2</v>
      </c>
      <c r="L3" s="32" t="s">
        <v>3</v>
      </c>
    </row>
    <row r="4" spans="2:16" x14ac:dyDescent="0.35">
      <c r="B4" s="101">
        <v>1</v>
      </c>
      <c r="C4" s="109" t="s">
        <v>200</v>
      </c>
      <c r="D4" s="110"/>
      <c r="E4" s="111"/>
      <c r="F4" s="8" t="s">
        <v>4</v>
      </c>
      <c r="G4" s="9" t="str">
        <f ca="1">INDIRECT(ADDRESS(21,6))&amp;":"&amp;INDIRECT(ADDRESS(21,7))</f>
        <v>10:13</v>
      </c>
      <c r="H4" s="9" t="str">
        <f ca="1">INDIRECT(ADDRESS(25,7))&amp;":"&amp;INDIRECT(ADDRESS(25,6))</f>
        <v>13:2</v>
      </c>
      <c r="I4" s="10" t="str">
        <f ca="1">INDIRECT(ADDRESS(16,6))&amp;":"&amp;INDIRECT(ADDRESS(16,7))</f>
        <v>13:6</v>
      </c>
      <c r="J4" s="123">
        <f ca="1">IF(COUNT(F5:I5)=0,"",COUNTIF(F5:I5,"&gt;0")+0.5*COUNTIF(F5:I5,0)+IFERROR(0.5-SIGN(F7)/2,0)+IFERROR(0.5-SIGN(F9)/2,0)+IFERROR(0.5-SIGN(F11)/2,0))</f>
        <v>4</v>
      </c>
      <c r="K4" s="11"/>
      <c r="L4" s="122">
        <v>1</v>
      </c>
    </row>
    <row r="5" spans="2:16" x14ac:dyDescent="0.35">
      <c r="B5" s="91"/>
      <c r="C5" s="93"/>
      <c r="D5" s="94"/>
      <c r="E5" s="95"/>
      <c r="F5" s="12" t="s">
        <v>4</v>
      </c>
      <c r="G5" s="13">
        <f ca="1">IF(LEN(INDIRECT(ADDRESS(ROW()-1, COLUMN())))=1,"",INDIRECT(ADDRESS(21,6))-INDIRECT(ADDRESS(21,7)))</f>
        <v>-3</v>
      </c>
      <c r="H5" s="13">
        <f ca="1">IF(LEN(INDIRECT(ADDRESS(ROW()-1, COLUMN())))=1,"",INDIRECT(ADDRESS(25,7))-INDIRECT(ADDRESS(25,6)))</f>
        <v>11</v>
      </c>
      <c r="I5" s="14">
        <f ca="1">IF(LEN(INDIRECT(ADDRESS(ROW()-1, COLUMN())))=1,"",INDIRECT(ADDRESS(16,6))-INDIRECT(ADDRESS(16,7)))</f>
        <v>7</v>
      </c>
      <c r="J5" s="112"/>
      <c r="K5" s="13">
        <f ca="1">IF(COUNT(F5:I5)=0,"",SUM(F5:I5)-IF(F7="",0,F7)-IF(F9="",0,F9)-IF(F11="",0,F11))</f>
        <v>38</v>
      </c>
      <c r="L5" s="120"/>
    </row>
    <row r="6" spans="2:16" x14ac:dyDescent="0.35">
      <c r="B6" s="79">
        <v>2</v>
      </c>
      <c r="C6" s="81" t="s">
        <v>201</v>
      </c>
      <c r="D6" s="82"/>
      <c r="E6" s="83"/>
      <c r="F6" s="15" t="str">
        <f ca="1">INDIRECT(ADDRESS(33,6))&amp;":"&amp;INDIRECT(ADDRESS(33,7))</f>
        <v>1:13</v>
      </c>
      <c r="G6" s="16" t="s">
        <v>4</v>
      </c>
      <c r="H6" s="17" t="str">
        <f ca="1">INDIRECT(ADDRESS(17,6))&amp;":"&amp;INDIRECT(ADDRESS(17,7))</f>
        <v>10:8</v>
      </c>
      <c r="I6" s="18" t="str">
        <f ca="1">INDIRECT(ADDRESS(24,6))&amp;":"&amp;INDIRECT(ADDRESS(24,7))</f>
        <v>12:13</v>
      </c>
      <c r="J6" s="112">
        <f ca="1">IF(COUNT(F7:I7)=0,"",COUNTIF(F7:I7,"&gt;0")+0.5*COUNTIF(F7:I7,0)+IFERROR(0.5-SIGN(G5)/2,0)+IFERROR(0.5-SIGN(G9)/2,0)+IFERROR(0.5-SIGN(G11)/2,0))</f>
        <v>2</v>
      </c>
      <c r="K6" s="13"/>
      <c r="L6" s="120">
        <v>4</v>
      </c>
    </row>
    <row r="7" spans="2:16" x14ac:dyDescent="0.35">
      <c r="B7" s="91"/>
      <c r="C7" s="81"/>
      <c r="D7" s="82"/>
      <c r="E7" s="83"/>
      <c r="F7" s="19">
        <f ca="1">IF(LEN(INDIRECT(ADDRESS(ROW()-1, COLUMN())))=1,"",INDIRECT(ADDRESS(33,6))-INDIRECT(ADDRESS(33,7)))</f>
        <v>-12</v>
      </c>
      <c r="G7" s="20" t="s">
        <v>4</v>
      </c>
      <c r="H7" s="13">
        <f ca="1">IF(LEN(INDIRECT(ADDRESS(ROW()-1, COLUMN())))=1,"",INDIRECT(ADDRESS(17,6))-INDIRECT(ADDRESS(17,7)))</f>
        <v>2</v>
      </c>
      <c r="I7" s="14">
        <f ca="1">IF(LEN(INDIRECT(ADDRESS(ROW()-1, COLUMN())))=1,"",INDIRECT(ADDRESS(24,6))-INDIRECT(ADDRESS(24,7)))</f>
        <v>-1</v>
      </c>
      <c r="J7" s="112"/>
      <c r="K7" s="13">
        <f ca="1">IF(COUNT(F7:I7)=0,"",SUM(F7:I7)-IF(G5="",0,G5)-IF(G9="",0,G9)-IF(G11="",0,G11))</f>
        <v>-10</v>
      </c>
      <c r="L7" s="120"/>
    </row>
    <row r="8" spans="2:16" x14ac:dyDescent="0.35">
      <c r="B8" s="79">
        <v>3</v>
      </c>
      <c r="C8" s="81" t="s">
        <v>202</v>
      </c>
      <c r="D8" s="82"/>
      <c r="E8" s="83"/>
      <c r="F8" s="15" t="str">
        <f ca="1">INDIRECT(ADDRESS(37,7))&amp;":"&amp;INDIRECT(ADDRESS(37,6))</f>
        <v>13:12</v>
      </c>
      <c r="G8" s="17" t="str">
        <f ca="1">INDIRECT(ADDRESS(29,6))&amp;":"&amp;INDIRECT(ADDRESS(29,7))</f>
        <v>13:12</v>
      </c>
      <c r="H8" s="16" t="s">
        <v>4</v>
      </c>
      <c r="I8" s="18" t="str">
        <f ca="1">INDIRECT(ADDRESS(20,7))&amp;":"&amp;INDIRECT(ADDRESS(20,6))</f>
        <v>13:9</v>
      </c>
      <c r="J8" s="112">
        <f ca="1">IF(COUNT(F9:I9)=0,"",COUNTIF(F9:I9,"&gt;0")+0.5*COUNTIF(F9:I9,0)+IFERROR(0.5-SIGN(H5)/2,0)+IFERROR(0.5-SIGN(H7)/2,0)+IFERROR(0.5-SIGN(H11)/2,0))</f>
        <v>3</v>
      </c>
      <c r="K8" s="13"/>
      <c r="L8" s="120">
        <v>2</v>
      </c>
    </row>
    <row r="9" spans="2:16" x14ac:dyDescent="0.35">
      <c r="B9" s="91"/>
      <c r="C9" s="81"/>
      <c r="D9" s="82"/>
      <c r="E9" s="83"/>
      <c r="F9" s="19">
        <f ca="1">IF(LEN(INDIRECT(ADDRESS(ROW()-1, COLUMN())))=1,"",INDIRECT(ADDRESS(37,7))-INDIRECT(ADDRESS(37,6)))</f>
        <v>1</v>
      </c>
      <c r="G9" s="13">
        <f ca="1">IF(LEN(INDIRECT(ADDRESS(ROW()-1, COLUMN())))=1,"",INDIRECT(ADDRESS(29,6))-INDIRECT(ADDRESS(29,7)))</f>
        <v>1</v>
      </c>
      <c r="H9" s="20" t="s">
        <v>4</v>
      </c>
      <c r="I9" s="14">
        <f ca="1">IF(LEN(INDIRECT(ADDRESS(ROW()-1, COLUMN())))=1,"",INDIRECT(ADDRESS(20,7))-INDIRECT(ADDRESS(20,6)))</f>
        <v>4</v>
      </c>
      <c r="J9" s="112"/>
      <c r="K9" s="13">
        <f ca="1">IF(COUNT(F9:I9)=0,"",SUM(F9:I9)-IF(H5="",0,H5)-IF(H7="",0,H7)-IF(H11="",0,H11))</f>
        <v>-9</v>
      </c>
      <c r="L9" s="120"/>
    </row>
    <row r="10" spans="2:16" x14ac:dyDescent="0.35">
      <c r="B10" s="79">
        <v>4</v>
      </c>
      <c r="C10" s="81" t="s">
        <v>203</v>
      </c>
      <c r="D10" s="82"/>
      <c r="E10" s="83"/>
      <c r="F10" s="15" t="str">
        <f ca="1">INDIRECT(ADDRESS(28,6))&amp;":"&amp;INDIRECT(ADDRESS(28,7))</f>
        <v>1:13</v>
      </c>
      <c r="G10" s="17" t="str">
        <f ca="1">INDIRECT(ADDRESS(36,6))&amp;":"&amp;INDIRECT(ADDRESS(36,7))</f>
        <v>13:12</v>
      </c>
      <c r="H10" s="17" t="str">
        <f ca="1">INDIRECT(ADDRESS(32,7))&amp;":"&amp;INDIRECT(ADDRESS(32,6))</f>
        <v>13:11</v>
      </c>
      <c r="I10" s="21" t="s">
        <v>4</v>
      </c>
      <c r="J10" s="112">
        <f ca="1">IF(COUNT(F11:I11)=0,"",COUNTIF(F11:I11,"&gt;0")+0.5*COUNTIF(F11:I11,0)+IFERROR(0.5-SIGN(I5)/2,0)+IFERROR(0.5-SIGN(I7)/2,0)+IFERROR(0.5-SIGN(I9)/2,0))</f>
        <v>3</v>
      </c>
      <c r="K10" s="13"/>
      <c r="L10" s="120">
        <v>3</v>
      </c>
    </row>
    <row r="11" spans="2:16" ht="21.75" thickBot="1" x14ac:dyDescent="0.4">
      <c r="B11" s="80"/>
      <c r="C11" s="84"/>
      <c r="D11" s="85"/>
      <c r="E11" s="86"/>
      <c r="F11" s="22">
        <f ca="1">IF(LEN(INDIRECT(ADDRESS(ROW()-1, COLUMN())))=1,"",INDIRECT(ADDRESS(28,6))-INDIRECT(ADDRESS(28,7)))</f>
        <v>-12</v>
      </c>
      <c r="G11" s="23">
        <f ca="1">IF(LEN(INDIRECT(ADDRESS(ROW()-1, COLUMN())))=1,"",INDIRECT(ADDRESS(36,6))-INDIRECT(ADDRESS(36,7)))</f>
        <v>1</v>
      </c>
      <c r="H11" s="23">
        <f ca="1">IF(LEN(INDIRECT(ADDRESS(ROW()-1, COLUMN())))=1,"",INDIRECT(ADDRESS(32,7))-INDIRECT(ADDRESS(32,6)))</f>
        <v>2</v>
      </c>
      <c r="I11" s="24" t="s">
        <v>4</v>
      </c>
      <c r="J11" s="117"/>
      <c r="K11" s="23">
        <f ca="1">IF(COUNT(F11:I11)=0,"",SUM(F11:I11)-IF(I5="",0,I5)-IF(I7="",0,I7)-IF(I9="",0,I9))</f>
        <v>-19</v>
      </c>
      <c r="L11" s="121"/>
    </row>
    <row r="12" spans="2:16" x14ac:dyDescent="0.35">
      <c r="O12" s="68" t="s">
        <v>207</v>
      </c>
    </row>
    <row r="13" spans="2:16" ht="23.25" x14ac:dyDescent="0.35">
      <c r="M13" s="65" t="s">
        <v>204</v>
      </c>
      <c r="O13" s="67" t="s">
        <v>206</v>
      </c>
      <c r="P13" s="66" t="s">
        <v>205</v>
      </c>
    </row>
    <row r="15" spans="2:16" ht="21.75" thickBot="1" x14ac:dyDescent="0.4">
      <c r="B15" s="78" t="s">
        <v>5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2:16" ht="21.75" thickBot="1" x14ac:dyDescent="0.4">
      <c r="B16" s="6">
        <v>1</v>
      </c>
      <c r="C16" s="75" t="str">
        <f ca="1">IF(ISBLANK(INDIRECT(ADDRESS(B16*2+2,3))),"",INDIRECT(ADDRESS(B16*2+2,3)))</f>
        <v>Гоцфрид Константин</v>
      </c>
      <c r="D16" s="75"/>
      <c r="E16" s="76"/>
      <c r="F16" s="26">
        <v>13</v>
      </c>
      <c r="G16" s="27">
        <v>6</v>
      </c>
      <c r="H16" s="77" t="str">
        <f ca="1">IF(ISBLANK(INDIRECT(ADDRESS(K16*2+2,3))),"",INDIRECT(ADDRESS(K16*2+2,3)))</f>
        <v>Блинов Валерий</v>
      </c>
      <c r="I16" s="75"/>
      <c r="J16" s="75"/>
      <c r="K16" s="6">
        <v>4</v>
      </c>
      <c r="L16" s="28" t="s">
        <v>6</v>
      </c>
    </row>
    <row r="17" spans="2:12" ht="21.75" thickBot="1" x14ac:dyDescent="0.4">
      <c r="B17" s="6">
        <v>2</v>
      </c>
      <c r="C17" s="75" t="str">
        <f ca="1">IF(ISBLANK(INDIRECT(ADDRESS(B17*2+2,3))),"",INDIRECT(ADDRESS(B17*2+2,3)))</f>
        <v>Корнеевский Владимир</v>
      </c>
      <c r="D17" s="75"/>
      <c r="E17" s="76"/>
      <c r="F17" s="26">
        <v>10</v>
      </c>
      <c r="G17" s="27">
        <v>8</v>
      </c>
      <c r="H17" s="77" t="str">
        <f ca="1">IF(ISBLANK(INDIRECT(ADDRESS(K17*2+2,3))),"",INDIRECT(ADDRESS(K17*2+2,3)))</f>
        <v>Шундрин Михаил</v>
      </c>
      <c r="I17" s="75"/>
      <c r="J17" s="75"/>
      <c r="K17" s="6">
        <v>3</v>
      </c>
      <c r="L17" s="28" t="s">
        <v>6</v>
      </c>
    </row>
    <row r="19" spans="2:12" ht="21.75" thickBot="1" x14ac:dyDescent="0.4">
      <c r="B19" s="78" t="s">
        <v>7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12" ht="21.75" thickBot="1" x14ac:dyDescent="0.4">
      <c r="B20" s="6">
        <v>4</v>
      </c>
      <c r="C20" s="75" t="str">
        <f ca="1">IF(ISBLANK(INDIRECT(ADDRESS(B20*2+2,3))),"",INDIRECT(ADDRESS(B20*2+2,3)))</f>
        <v>Блинов Валерий</v>
      </c>
      <c r="D20" s="75"/>
      <c r="E20" s="76"/>
      <c r="F20" s="26">
        <v>9</v>
      </c>
      <c r="G20" s="27">
        <v>13</v>
      </c>
      <c r="H20" s="77" t="str">
        <f ca="1">IF(ISBLANK(INDIRECT(ADDRESS(K20*2+2,3))),"",INDIRECT(ADDRESS(K20*2+2,3)))</f>
        <v>Шундрин Михаил</v>
      </c>
      <c r="I20" s="75"/>
      <c r="J20" s="75"/>
      <c r="K20" s="6">
        <v>3</v>
      </c>
      <c r="L20" s="28" t="s">
        <v>6</v>
      </c>
    </row>
    <row r="21" spans="2:12" ht="21.75" thickBot="1" x14ac:dyDescent="0.4">
      <c r="B21" s="6">
        <v>1</v>
      </c>
      <c r="C21" s="75" t="str">
        <f ca="1">IF(ISBLANK(INDIRECT(ADDRESS(B21*2+2,3))),"",INDIRECT(ADDRESS(B21*2+2,3)))</f>
        <v>Гоцфрид Константин</v>
      </c>
      <c r="D21" s="75"/>
      <c r="E21" s="76"/>
      <c r="F21" s="26">
        <v>10</v>
      </c>
      <c r="G21" s="27">
        <v>13</v>
      </c>
      <c r="H21" s="77" t="str">
        <f ca="1">IF(ISBLANK(INDIRECT(ADDRESS(K21*2+2,3))),"",INDIRECT(ADDRESS(K21*2+2,3)))</f>
        <v>Корнеевский Владимир</v>
      </c>
      <c r="I21" s="75"/>
      <c r="J21" s="75"/>
      <c r="K21" s="6">
        <v>2</v>
      </c>
      <c r="L21" s="28" t="s">
        <v>6</v>
      </c>
    </row>
    <row r="23" spans="2:12" ht="21.75" thickBot="1" x14ac:dyDescent="0.4">
      <c r="B23" s="78" t="s">
        <v>8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2:12" ht="21.75" thickBot="1" x14ac:dyDescent="0.4">
      <c r="B24" s="6">
        <v>2</v>
      </c>
      <c r="C24" s="75" t="str">
        <f ca="1">IF(ISBLANK(INDIRECT(ADDRESS(B24*2+2,3))),"",INDIRECT(ADDRESS(B24*2+2,3)))</f>
        <v>Корнеевский Владимир</v>
      </c>
      <c r="D24" s="75"/>
      <c r="E24" s="76"/>
      <c r="F24" s="26">
        <v>12</v>
      </c>
      <c r="G24" s="27">
        <v>13</v>
      </c>
      <c r="H24" s="77" t="str">
        <f ca="1">IF(ISBLANK(INDIRECT(ADDRESS(K24*2+2,3))),"",INDIRECT(ADDRESS(K24*2+2,3)))</f>
        <v>Блинов Валерий</v>
      </c>
      <c r="I24" s="75"/>
      <c r="J24" s="75"/>
      <c r="K24" s="6">
        <v>4</v>
      </c>
      <c r="L24" s="28" t="s">
        <v>6</v>
      </c>
    </row>
    <row r="25" spans="2:12" ht="21.75" thickBot="1" x14ac:dyDescent="0.4">
      <c r="B25" s="6">
        <v>3</v>
      </c>
      <c r="C25" s="75" t="str">
        <f ca="1">IF(ISBLANK(INDIRECT(ADDRESS(B25*2+2,3))),"",INDIRECT(ADDRESS(B25*2+2,3)))</f>
        <v>Шундрин Михаил</v>
      </c>
      <c r="D25" s="75"/>
      <c r="E25" s="76"/>
      <c r="F25" s="26">
        <v>2</v>
      </c>
      <c r="G25" s="27">
        <v>13</v>
      </c>
      <c r="H25" s="77" t="str">
        <f ca="1">IF(ISBLANK(INDIRECT(ADDRESS(K25*2+2,3))),"",INDIRECT(ADDRESS(K25*2+2,3)))</f>
        <v>Гоцфрид Константин</v>
      </c>
      <c r="I25" s="75"/>
      <c r="J25" s="75"/>
      <c r="K25" s="6">
        <v>1</v>
      </c>
      <c r="L25" s="28" t="s">
        <v>6</v>
      </c>
    </row>
    <row r="27" spans="2:12" ht="21.75" thickBot="1" x14ac:dyDescent="0.4">
      <c r="B27" s="78" t="s">
        <v>9</v>
      </c>
      <c r="C27" s="78"/>
      <c r="D27" s="78"/>
      <c r="E27" s="78"/>
      <c r="F27" s="78"/>
      <c r="G27" s="78"/>
      <c r="H27" s="78"/>
      <c r="I27" s="78"/>
      <c r="J27" s="78"/>
      <c r="K27" s="78"/>
    </row>
    <row r="28" spans="2:12" ht="21.75" thickBot="1" x14ac:dyDescent="0.4">
      <c r="B28" s="6">
        <v>4</v>
      </c>
      <c r="C28" s="75" t="str">
        <f ca="1">IF(ISBLANK(INDIRECT(ADDRESS(B28*2+2,3))),"",INDIRECT(ADDRESS(B28*2+2,3)))</f>
        <v>Блинов Валерий</v>
      </c>
      <c r="D28" s="75"/>
      <c r="E28" s="76"/>
      <c r="F28" s="26">
        <v>1</v>
      </c>
      <c r="G28" s="27">
        <v>13</v>
      </c>
      <c r="H28" s="77" t="str">
        <f ca="1">IF(ISBLANK(INDIRECT(ADDRESS(K28*2+2,3))),"",INDIRECT(ADDRESS(K28*2+2,3)))</f>
        <v>Гоцфрид Константин</v>
      </c>
      <c r="I28" s="75"/>
      <c r="J28" s="75"/>
      <c r="K28" s="6">
        <v>1</v>
      </c>
      <c r="L28" s="28" t="s">
        <v>6</v>
      </c>
    </row>
    <row r="29" spans="2:12" ht="21.75" thickBot="1" x14ac:dyDescent="0.4">
      <c r="B29" s="6">
        <v>3</v>
      </c>
      <c r="C29" s="75" t="str">
        <f ca="1">IF(ISBLANK(INDIRECT(ADDRESS(B29*2+2,3))),"",INDIRECT(ADDRESS(B29*2+2,3)))</f>
        <v>Шундрин Михаил</v>
      </c>
      <c r="D29" s="75"/>
      <c r="E29" s="76"/>
      <c r="F29" s="26">
        <v>13</v>
      </c>
      <c r="G29" s="27">
        <v>12</v>
      </c>
      <c r="H29" s="77" t="str">
        <f ca="1">IF(ISBLANK(INDIRECT(ADDRESS(K29*2+2,3))),"",INDIRECT(ADDRESS(K29*2+2,3)))</f>
        <v>Корнеевский Владимир</v>
      </c>
      <c r="I29" s="75"/>
      <c r="J29" s="75"/>
      <c r="K29" s="6">
        <v>2</v>
      </c>
      <c r="L29" s="28" t="s">
        <v>6</v>
      </c>
    </row>
    <row r="31" spans="2:12" ht="21.75" thickBot="1" x14ac:dyDescent="0.4">
      <c r="B31" s="78" t="s">
        <v>10</v>
      </c>
      <c r="C31" s="78"/>
      <c r="D31" s="78"/>
      <c r="E31" s="78"/>
      <c r="F31" s="78"/>
      <c r="G31" s="78"/>
      <c r="H31" s="78"/>
      <c r="I31" s="78"/>
      <c r="J31" s="78"/>
      <c r="K31" s="78"/>
    </row>
    <row r="32" spans="2:12" ht="21.75" thickBot="1" x14ac:dyDescent="0.4">
      <c r="B32" s="6">
        <v>3</v>
      </c>
      <c r="C32" s="75" t="str">
        <f ca="1">IF(ISBLANK(INDIRECT(ADDRESS(B32*2+2,3))),"",INDIRECT(ADDRESS(B32*2+2,3)))</f>
        <v>Шундрин Михаил</v>
      </c>
      <c r="D32" s="75"/>
      <c r="E32" s="76"/>
      <c r="F32" s="26">
        <v>11</v>
      </c>
      <c r="G32" s="27">
        <v>13</v>
      </c>
      <c r="H32" s="77" t="str">
        <f ca="1">IF(ISBLANK(INDIRECT(ADDRESS(K32*2+2,3))),"",INDIRECT(ADDRESS(K32*2+2,3)))</f>
        <v>Блинов Валерий</v>
      </c>
      <c r="I32" s="75"/>
      <c r="J32" s="75"/>
      <c r="K32" s="6">
        <v>4</v>
      </c>
      <c r="L32" s="28" t="s">
        <v>6</v>
      </c>
    </row>
    <row r="33" spans="2:12" ht="21.75" thickBot="1" x14ac:dyDescent="0.4">
      <c r="B33" s="6">
        <v>2</v>
      </c>
      <c r="C33" s="75" t="str">
        <f ca="1">IF(ISBLANK(INDIRECT(ADDRESS(B33*2+2,3))),"",INDIRECT(ADDRESS(B33*2+2,3)))</f>
        <v>Корнеевский Владимир</v>
      </c>
      <c r="D33" s="75"/>
      <c r="E33" s="76"/>
      <c r="F33" s="26">
        <v>1</v>
      </c>
      <c r="G33" s="27">
        <v>13</v>
      </c>
      <c r="H33" s="77" t="str">
        <f ca="1">IF(ISBLANK(INDIRECT(ADDRESS(K33*2+2,3))),"",INDIRECT(ADDRESS(K33*2+2,3)))</f>
        <v>Гоцфрид Константин</v>
      </c>
      <c r="I33" s="75"/>
      <c r="J33" s="75"/>
      <c r="K33" s="6">
        <v>1</v>
      </c>
      <c r="L33" s="28" t="s">
        <v>6</v>
      </c>
    </row>
    <row r="35" spans="2:12" ht="21.75" thickBot="1" x14ac:dyDescent="0.4">
      <c r="B35" s="78" t="s">
        <v>107</v>
      </c>
      <c r="C35" s="78"/>
      <c r="D35" s="78"/>
      <c r="E35" s="78"/>
      <c r="F35" s="78"/>
      <c r="G35" s="78"/>
      <c r="H35" s="78"/>
      <c r="I35" s="78"/>
      <c r="J35" s="78"/>
      <c r="K35" s="78"/>
    </row>
    <row r="36" spans="2:12" ht="21.75" thickBot="1" x14ac:dyDescent="0.4">
      <c r="B36" s="6">
        <v>4</v>
      </c>
      <c r="C36" s="75" t="str">
        <f ca="1">IF(ISBLANK(INDIRECT(ADDRESS(B36*2+2,3))),"",INDIRECT(ADDRESS(B36*2+2,3)))</f>
        <v>Блинов Валерий</v>
      </c>
      <c r="D36" s="75"/>
      <c r="E36" s="76"/>
      <c r="F36" s="26">
        <v>13</v>
      </c>
      <c r="G36" s="27">
        <v>12</v>
      </c>
      <c r="H36" s="77" t="str">
        <f ca="1">IF(ISBLANK(INDIRECT(ADDRESS(K36*2+2,3))),"",INDIRECT(ADDRESS(K36*2+2,3)))</f>
        <v>Корнеевский Владимир</v>
      </c>
      <c r="I36" s="75"/>
      <c r="J36" s="75"/>
      <c r="K36" s="6">
        <v>2</v>
      </c>
      <c r="L36" s="28" t="s">
        <v>6</v>
      </c>
    </row>
    <row r="37" spans="2:12" ht="21.75" thickBot="1" x14ac:dyDescent="0.4">
      <c r="B37" s="6">
        <v>1</v>
      </c>
      <c r="C37" s="75" t="str">
        <f ca="1">IF(ISBLANK(INDIRECT(ADDRESS(B37*2+2,3))),"",INDIRECT(ADDRESS(B37*2+2,3)))</f>
        <v>Гоцфрид Константин</v>
      </c>
      <c r="D37" s="75"/>
      <c r="E37" s="76"/>
      <c r="F37" s="26">
        <v>12</v>
      </c>
      <c r="G37" s="27">
        <v>13</v>
      </c>
      <c r="H37" s="77" t="str">
        <f ca="1">IF(ISBLANK(INDIRECT(ADDRESS(K37*2+2,3))),"",INDIRECT(ADDRESS(K37*2+2,3)))</f>
        <v>Шундрин Михаил</v>
      </c>
      <c r="I37" s="75"/>
      <c r="J37" s="75"/>
      <c r="K37" s="6">
        <v>3</v>
      </c>
      <c r="L37" s="28" t="s">
        <v>6</v>
      </c>
    </row>
  </sheetData>
  <mergeCells count="48">
    <mergeCell ref="L4:L5"/>
    <mergeCell ref="B1:K1"/>
    <mergeCell ref="C3:E3"/>
    <mergeCell ref="B4:B5"/>
    <mergeCell ref="C4:E5"/>
    <mergeCell ref="J4:J5"/>
    <mergeCell ref="L6:L7"/>
    <mergeCell ref="B8:B9"/>
    <mergeCell ref="C8:E9"/>
    <mergeCell ref="J8:J9"/>
    <mergeCell ref="L8:L9"/>
    <mergeCell ref="H16:J16"/>
    <mergeCell ref="B6:B7"/>
    <mergeCell ref="C6:E7"/>
    <mergeCell ref="J6:J7"/>
    <mergeCell ref="B10:B11"/>
    <mergeCell ref="C10:E11"/>
    <mergeCell ref="J10:J11"/>
    <mergeCell ref="L10:L11"/>
    <mergeCell ref="B15:K15"/>
    <mergeCell ref="B27:K27"/>
    <mergeCell ref="C17:E17"/>
    <mergeCell ref="H17:J17"/>
    <mergeCell ref="B19:K19"/>
    <mergeCell ref="C20:E20"/>
    <mergeCell ref="H20:J20"/>
    <mergeCell ref="C21:E21"/>
    <mergeCell ref="H21:J21"/>
    <mergeCell ref="B23:K23"/>
    <mergeCell ref="C24:E24"/>
    <mergeCell ref="H24:J24"/>
    <mergeCell ref="C25:E25"/>
    <mergeCell ref="H25:J25"/>
    <mergeCell ref="C16:E16"/>
    <mergeCell ref="C37:E37"/>
    <mergeCell ref="H37:J37"/>
    <mergeCell ref="C28:E28"/>
    <mergeCell ref="H28:J28"/>
    <mergeCell ref="C29:E29"/>
    <mergeCell ref="H29:J29"/>
    <mergeCell ref="B31:K31"/>
    <mergeCell ref="C32:E32"/>
    <mergeCell ref="H32:J32"/>
    <mergeCell ref="C33:E33"/>
    <mergeCell ref="H33:J33"/>
    <mergeCell ref="B35:K35"/>
    <mergeCell ref="C36:E36"/>
    <mergeCell ref="H36:J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Регистрация</vt:lpstr>
      <vt:lpstr>Москва М1</vt:lpstr>
      <vt:lpstr>Москва М2</vt:lpstr>
      <vt:lpstr>Москва М3</vt:lpstr>
      <vt:lpstr>Москва М4</vt:lpstr>
      <vt:lpstr>Москва М5</vt:lpstr>
      <vt:lpstr>Десн М6</vt:lpstr>
      <vt:lpstr>Десн М7</vt:lpstr>
      <vt:lpstr>Калуга М8</vt:lpstr>
      <vt:lpstr>Калуга М9</vt:lpstr>
      <vt:lpstr>Москва ж1</vt:lpstr>
      <vt:lpstr>Москва ж2</vt:lpstr>
      <vt:lpstr>Москва ж3</vt:lpstr>
      <vt:lpstr>Десн ж4</vt:lpstr>
      <vt:lpstr>Питер ж5</vt:lpstr>
      <vt:lpstr>Калуга ж6</vt:lpstr>
      <vt:lpstr>F1</vt:lpstr>
      <vt:lpstr>F2</vt:lpstr>
      <vt:lpstr>F3</vt:lpstr>
      <vt:lpstr>G1</vt:lpstr>
      <vt:lpstr>G2</vt:lpstr>
      <vt:lpstr>Финал муж</vt:lpstr>
      <vt:lpstr>Финал жен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РФП</cp:lastModifiedBy>
  <dcterms:created xsi:type="dcterms:W3CDTF">2018-01-20T08:52:13Z</dcterms:created>
  <dcterms:modified xsi:type="dcterms:W3CDTF">2018-01-28T19:04:34Z</dcterms:modified>
</cp:coreProperties>
</file>